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Ya812tFOyglxQYejWl3R1omJlpttDU3gt6Wn0T0pFVUAunZu4oX70G2KftrEOWD9leBPyYXgsd4gviQqykVXsg==" workbookSaltValue="1e9G/BZoInMnJW6VnJX6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I32" i="20"/>
  <c r="AM32" i="20"/>
  <c r="U10" i="11"/>
  <c r="I32" i="20"/>
  <c r="Q32" i="20"/>
  <c r="U12" i="11"/>
  <c r="AU32" i="20"/>
  <c r="G14" i="14"/>
  <c r="W32" i="20"/>
  <c r="AJ32" i="20"/>
  <c r="G30" i="14"/>
  <c r="G23" i="14"/>
  <c r="U18" i="11"/>
  <c r="AX32" i="20"/>
  <c r="Y32" i="20"/>
  <c r="L32" i="20"/>
  <c r="AG32" i="20"/>
  <c r="H32" i="20"/>
  <c r="T32" i="21"/>
  <c r="F32" i="20"/>
  <c r="AF32" i="20"/>
  <c r="G26" i="14"/>
  <c r="S32" i="20"/>
  <c r="K32" i="20"/>
  <c r="AQ32" i="21"/>
  <c r="O17" i="11"/>
  <c r="J32" i="20"/>
  <c r="AK32" i="20"/>
  <c r="AE32" i="20"/>
  <c r="AZ32" i="20"/>
  <c r="O18" i="11"/>
  <c r="R32" i="20"/>
  <c r="BF17" i="8" l="1"/>
  <c r="L17" i="14"/>
  <c r="T31" i="8"/>
  <c r="F16" i="11"/>
  <c r="AQ16" i="11" s="1"/>
  <c r="BF16" i="13"/>
  <c r="BG17" i="13"/>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K16" i="12" l="1"/>
  <c r="T22" i="11"/>
  <c r="R22" i="14"/>
  <c r="S18" i="14"/>
  <c r="V18" i="14" s="1"/>
  <c r="BH30" i="16"/>
  <c r="AP14" i="20"/>
  <c r="V10" i="21"/>
  <c r="AO18" i="17"/>
  <c r="AO9" i="17"/>
  <c r="AO16" i="17"/>
  <c r="AM20" i="11"/>
  <c r="AO13" i="17"/>
  <c r="X14"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Q21"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AV32" i="21"/>
  <c r="O12" i="11"/>
  <c r="H32" i="17"/>
  <c r="V14" i="21" l="1"/>
  <c r="V31" i="21" s="1"/>
  <c r="BI23" i="11"/>
  <c r="BV14" i="16"/>
  <c r="BW33" i="20"/>
  <c r="P13" i="11"/>
  <c r="P17" i="11"/>
  <c r="Q29" i="11"/>
  <c r="BH23" i="11"/>
  <c r="U14" i="17"/>
  <c r="Q31" i="20"/>
  <c r="P16" i="11"/>
  <c r="P12" i="11"/>
  <c r="BK14" i="11"/>
  <c r="BK31" i="11" s="1"/>
  <c r="BF23" i="11"/>
  <c r="P23" i="17"/>
  <c r="P31" i="17" s="1"/>
  <c r="BL23" i="11"/>
  <c r="Q17" i="11"/>
  <c r="BU33" i="17"/>
  <c r="T23" i="16"/>
  <c r="T31" i="16" s="1"/>
  <c r="P29" i="11"/>
  <c r="Q25" i="11"/>
  <c r="Q13" i="11"/>
  <c r="P18" i="11"/>
  <c r="Q9" i="11"/>
  <c r="AZ31" i="11"/>
  <c r="AZ14" i="11"/>
  <c r="P9" i="11"/>
  <c r="S23" i="16"/>
  <c r="S31" i="16" s="1"/>
  <c r="R14" i="21"/>
  <c r="R31" i="21" s="1"/>
  <c r="AZ26"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H32" i="12"/>
  <c r="V32" i="11"/>
  <c r="BD32" i="21"/>
  <c r="AS32" i="21"/>
  <c r="H32" i="16"/>
  <c r="AA32" i="11"/>
  <c r="AB32" i="16"/>
  <c r="AG32" i="11"/>
  <c r="N32" i="21"/>
  <c r="S32" i="21"/>
  <c r="AF32" i="17"/>
  <c r="AF32" i="11"/>
  <c r="AK32" i="16"/>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11"/>
  <c r="O32" i="17"/>
  <c r="AB32" i="21"/>
  <c r="X32" i="17"/>
  <c r="P32" i="11"/>
  <c r="S32" i="16"/>
  <c r="AR32" i="17"/>
  <c r="X32" i="21"/>
  <c r="Y32" i="11"/>
  <c r="AC32" i="11"/>
  <c r="AO32" i="21"/>
  <c r="AM32" i="17"/>
  <c r="AE32" i="21"/>
  <c r="AD32" i="21"/>
  <c r="K32" i="21"/>
  <c r="AW32" i="17"/>
  <c r="L32" i="21"/>
  <c r="AY32" i="16"/>
  <c r="BF32" i="16"/>
  <c r="AS32" i="17"/>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<sst xmlns="http://schemas.openxmlformats.org/spreadsheetml/2006/main" count="2682" uniqueCount="1193">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</sst>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6WJefrntfqEi+dG2Fgy1XRVodyk8k0whpQlxMijBpB5CRvIwwmzPTwDQfmxSJOLhgg90G+88qoL6sYXEmLP5A==" saltValue="57DlmHbTwl0BB2S4N5Zu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2</v>
      </c>
      <c r="F10" s="240">
        <f>IF(ISNUMBER(Datos!K10),Datos!K10," - ")</f>
        <v>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47.066014669926652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661</v>
      </c>
      <c r="D17" s="239">
        <f>IF(ISNUMBER(IF(D_I="SI",Datos!I17,Datos!I17+Datos!AC17)),IF(D_I="SI",Datos!I17,Datos!I17+Datos!AC17)," - ")</f>
        <v>661</v>
      </c>
      <c r="E17" s="240">
        <f>IF(ISNUMBER(IF(D_I="SI",Datos!J17,Datos!J17+Datos!AD17)),IF(D_I="SI",Datos!J17,Datos!J17+Datos!AD17)," - ")</f>
        <v>359</v>
      </c>
      <c r="F17" s="240">
        <f>IF(ISNUMBER(IF(D_I="SI",Datos!K17,Datos!K17+Datos!AE17)),IF(D_I="SI",Datos!K17,Datos!K17+Datos!AE17)," - ")</f>
        <v>295</v>
      </c>
      <c r="G17" s="1390" t="str">
        <f>IF(Datos!E17&lt;&gt;"",Datos!E17,Datos!D17)</f>
        <v>04</v>
      </c>
      <c r="H17" s="241">
        <f>IF(ISNUMBER(IF(D_I="SI",Datos!L17,Datos!L17+Datos!AF17)),IF(D_I="SI",Datos!L17,Datos!L17+Datos!AF17)," - ")</f>
        <v>725</v>
      </c>
      <c r="I17" s="1400" t="str">
        <f>IF(ISNUMBER(Datos!AS17/Datos!BM17),Datos!AS17/Datos!BM17," - ")</f>
        <v xml:space="preserve"> - </v>
      </c>
      <c r="J17" s="1401">
        <f>IF(ISNUMBER(Datos!BY17/Datos!CN17),Datos!BY17/Datos!CN17," - ")</f>
        <v>0</v>
      </c>
      <c r="K17" s="244">
        <f t="shared" si="3"/>
        <v>9.682299546142209E-2</v>
      </c>
      <c r="L17" s="1402">
        <f>IF(ISNUMBER(NºAsuntos!I17/NºAsuntos!G17),(NºAsuntos!I17/NºAsuntos!G17)*11," - ")</f>
        <v>27.033898305084747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36</v>
      </c>
      <c r="F18" s="240">
        <f>IF(ISNUMBER(IF(D_I="SI",Datos!K18,Datos!K18+Datos!AE18)),IF(D_I="SI",Datos!K18,Datos!K18+Datos!AE18)," - ")</f>
        <v>29</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0.21875</v>
      </c>
      <c r="L18" s="1402">
        <f>IF(ISNUMBER(NºAsuntos!I18/NºAsuntos!G18),(NºAsuntos!I18/NºAsuntos!G18)*11," - ")</f>
        <v>14.793103448275863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693</v>
      </c>
      <c r="D23" s="1407">
        <f>SUBTOTAL(9,D16:D22)</f>
        <v>693</v>
      </c>
      <c r="E23" s="1408">
        <f>SUBTOTAL(9,E16:E22)</f>
        <v>395</v>
      </c>
      <c r="F23" s="1408">
        <f>SUBTOTAL(9,F16:F22)</f>
        <v>324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707</v>
      </c>
      <c r="D31" s="1435">
        <f>SUBTOTAL(9,D9:D30)</f>
        <v>707</v>
      </c>
      <c r="E31" s="1436">
        <f>SUBTOTAL(9,E9:E30)</f>
        <v>397</v>
      </c>
      <c r="F31" s="1436">
        <f>SUBTOTAL(9,F9:F30)</f>
        <v>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AKfQrxX+rOr23jO6L+fm8NS+hrYxvXHKR3nfB0JtSDeuvYmjngJDxUbA5F1YXqwGSdpd+7u+r56ezCk33BWg==" saltValue="qfM/m8AYpVz80zf8EVWc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R0fCjHumfdzBCaC2cVjIS9edeaF0jkKjqCXSnntYH+IEkBm3DseoGHVj3KWAyJNBxI2Q5FfRJgK24FtTdFr8Q==" saltValue="4b8cNuJol4tsAfpwvezg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2</v>
      </c>
      <c r="K10" s="194">
        <v>2</v>
      </c>
      <c r="L10" s="194">
        <v>14</v>
      </c>
      <c r="M10" s="194">
        <v>1</v>
      </c>
      <c r="N10" s="194">
        <v>1</v>
      </c>
      <c r="O10" s="194">
        <v>0</v>
      </c>
      <c r="P10" s="194">
        <v>1</v>
      </c>
      <c r="Q10" s="194">
        <v>0</v>
      </c>
      <c r="R10" s="194">
        <v>5</v>
      </c>
      <c r="S10" s="194">
        <v>37</v>
      </c>
      <c r="T10" s="194">
        <v>5</v>
      </c>
      <c r="U10" s="194">
        <v>5</v>
      </c>
      <c r="V10" s="194">
        <v>37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5</v>
      </c>
      <c r="BA10" s="139">
        <f t="shared" si="0"/>
        <v>5</v>
      </c>
      <c r="BB10" s="139">
        <f t="shared" si="0"/>
        <v>37</v>
      </c>
      <c r="BC10" s="135">
        <f t="shared" si="0"/>
        <v>3</v>
      </c>
      <c r="BD10" s="136">
        <f>IF(ISNUMBER(BA10/AZ10),BA10/AZ10," - ")</f>
        <v>1</v>
      </c>
      <c r="BE10" s="137">
        <f>IF(ISNUMBER(BB10/BA10),BB10/BA10, " - ")</f>
        <v>7.4</v>
      </c>
      <c r="BF10" s="137">
        <f>IF(ISNUMBER(BC10/BA10),BC10/BA10, " - ")</f>
        <v>0.6</v>
      </c>
      <c r="BG10" s="209">
        <f>IF(ISNUMBER((AY10+AZ10)/BA10),(AY10+AZ10)/BA10," - ")</f>
        <v>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1552</v>
      </c>
      <c r="J12" s="196">
        <v>561</v>
      </c>
      <c r="K12" s="196">
        <v>390</v>
      </c>
      <c r="L12" s="196">
        <v>1723</v>
      </c>
      <c r="M12" s="196">
        <v>55</v>
      </c>
      <c r="N12" s="196">
        <v>233</v>
      </c>
      <c r="O12" s="194">
        <v>178</v>
      </c>
      <c r="P12" s="196">
        <v>103</v>
      </c>
      <c r="Q12" s="196">
        <v>91</v>
      </c>
      <c r="R12" s="196">
        <v>2910</v>
      </c>
      <c r="S12" s="196">
        <v>1462</v>
      </c>
      <c r="T12" s="196">
        <v>414</v>
      </c>
      <c r="U12" s="196">
        <v>292</v>
      </c>
      <c r="V12" s="196">
        <v>1584</v>
      </c>
      <c r="W12" s="196">
        <v>33</v>
      </c>
      <c r="X12" s="202">
        <v>131</v>
      </c>
      <c r="Y12" s="204">
        <v>31</v>
      </c>
      <c r="Z12" s="194">
        <v>15</v>
      </c>
      <c r="AA12" s="194">
        <v>19</v>
      </c>
      <c r="AB12" s="194">
        <v>27</v>
      </c>
      <c r="AC12" s="196">
        <v>0</v>
      </c>
      <c r="AD12" s="196">
        <v>0</v>
      </c>
      <c r="AE12" s="196">
        <v>0</v>
      </c>
      <c r="AF12" s="202">
        <v>0</v>
      </c>
      <c r="AG12" s="215">
        <v>23</v>
      </c>
      <c r="AH12" s="196">
        <v>12</v>
      </c>
      <c r="AI12" s="196">
        <v>16</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1485</v>
      </c>
      <c r="AZ12" s="137">
        <f t="shared" si="1"/>
        <v>426</v>
      </c>
      <c r="BA12" s="137">
        <f t="shared" si="1"/>
        <v>308</v>
      </c>
      <c r="BB12" s="137">
        <f t="shared" si="1"/>
        <v>1603</v>
      </c>
      <c r="BC12" s="135">
        <f>IF(ISNUMBER(X12),X12," - ")</f>
        <v>131</v>
      </c>
      <c r="BD12" s="136">
        <f t="shared" si="2"/>
        <v>0.72300469483568075</v>
      </c>
      <c r="BE12" s="137">
        <f t="shared" si="3"/>
        <v>5.2045454545454541</v>
      </c>
      <c r="BF12" s="137">
        <f t="shared" si="4"/>
        <v>0.42532467532467533</v>
      </c>
      <c r="BG12" s="209">
        <f t="shared" si="5"/>
        <v>6.2045454545454541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1566</v>
      </c>
      <c r="J14" s="197">
        <f t="shared" si="7"/>
        <v>563</v>
      </c>
      <c r="K14" s="197">
        <f t="shared" si="7"/>
        <v>392</v>
      </c>
      <c r="L14" s="197">
        <f t="shared" si="7"/>
        <v>1737</v>
      </c>
      <c r="M14" s="197">
        <f t="shared" si="7"/>
        <v>56</v>
      </c>
      <c r="N14" s="197">
        <f t="shared" si="7"/>
        <v>234</v>
      </c>
      <c r="O14" s="197">
        <f t="shared" si="7"/>
        <v>178</v>
      </c>
      <c r="P14" s="197">
        <f t="shared" si="7"/>
        <v>104</v>
      </c>
      <c r="Q14" s="197">
        <f t="shared" si="7"/>
        <v>91</v>
      </c>
      <c r="R14" s="197">
        <f t="shared" si="7"/>
        <v>2915</v>
      </c>
      <c r="S14" s="197">
        <f t="shared" si="7"/>
        <v>1499</v>
      </c>
      <c r="T14" s="197">
        <f t="shared" si="7"/>
        <v>419</v>
      </c>
      <c r="U14" s="197">
        <f t="shared" si="7"/>
        <v>297</v>
      </c>
      <c r="V14" s="197">
        <f t="shared" si="7"/>
        <v>1621</v>
      </c>
      <c r="W14" s="197">
        <f t="shared" si="7"/>
        <v>36</v>
      </c>
      <c r="X14" s="197">
        <f t="shared" si="7"/>
        <v>131</v>
      </c>
      <c r="Y14" s="197">
        <f t="shared" si="7"/>
        <v>31</v>
      </c>
      <c r="Z14" s="197">
        <f t="shared" si="7"/>
        <v>15</v>
      </c>
      <c r="AA14" s="197">
        <f t="shared" si="7"/>
        <v>19</v>
      </c>
      <c r="AB14" s="197">
        <f t="shared" si="7"/>
        <v>27</v>
      </c>
      <c r="AC14" s="197">
        <f t="shared" si="7"/>
        <v>0</v>
      </c>
      <c r="AD14" s="197">
        <f t="shared" si="7"/>
        <v>0</v>
      </c>
      <c r="AE14" s="197">
        <f t="shared" si="7"/>
        <v>0</v>
      </c>
      <c r="AF14" s="197">
        <f>SUBTOTAL(9,AF9:AF13)</f>
        <v>0</v>
      </c>
      <c r="AG14" s="197">
        <f t="shared" ref="AG14:AT14" si="8">SUBTOTAL(9,AG8:AG13)</f>
        <v>23</v>
      </c>
      <c r="AH14" s="197">
        <f t="shared" si="8"/>
        <v>12</v>
      </c>
      <c r="AI14" s="197">
        <f t="shared" si="8"/>
        <v>16</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1522</v>
      </c>
      <c r="AZ14" s="197">
        <f>SUBTOTAL(9,AZ8:AZ13)</f>
        <v>431</v>
      </c>
      <c r="BA14" s="197">
        <f>SUBTOTAL(9,BA8:BA13)</f>
        <v>313</v>
      </c>
      <c r="BB14" s="197">
        <f>SUBTOTAL(9,BB8:BB13)</f>
        <v>1640</v>
      </c>
      <c r="BC14" s="197">
        <f>SUBTOTAL(9,BC8:BC13)</f>
        <v>134</v>
      </c>
      <c r="BD14" s="219">
        <f>IF(ISNUMBER(BA14/AZ14),BA14/AZ14," - ")</f>
        <v>0.72621809744779586</v>
      </c>
      <c r="BE14" s="220">
        <f>IF(ISNUMBER(BB14/BA14),BB14/BA14, " - ")</f>
        <v>5.23961661341853</v>
      </c>
      <c r="BF14" s="220">
        <f>IF(ISNUMBER(BC14/BA14),BC14/BA14, " - ")</f>
        <v>0.4281150159744409</v>
      </c>
      <c r="BG14" s="221">
        <f>IF(ISNUMBER((AY14+AZ14)/BA14),(AY14+AZ14)/BA14," - ")</f>
        <v>6.23961661341853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661</v>
      </c>
      <c r="J17" s="196">
        <v>359</v>
      </c>
      <c r="K17" s="196">
        <v>295</v>
      </c>
      <c r="L17" s="196">
        <v>725</v>
      </c>
      <c r="M17" s="196">
        <v>68</v>
      </c>
      <c r="N17" s="196">
        <v>176</v>
      </c>
      <c r="O17" s="194">
        <v>0</v>
      </c>
      <c r="P17" s="196">
        <v>2</v>
      </c>
      <c r="Q17" s="196">
        <v>1</v>
      </c>
      <c r="R17" s="196">
        <v>57</v>
      </c>
      <c r="S17" s="196">
        <v>508</v>
      </c>
      <c r="T17" s="196">
        <v>384</v>
      </c>
      <c r="U17" s="196">
        <v>406</v>
      </c>
      <c r="V17" s="196">
        <v>486</v>
      </c>
      <c r="W17" s="196">
        <v>24</v>
      </c>
      <c r="X17" s="202">
        <v>328</v>
      </c>
      <c r="Y17" s="215">
        <v>0</v>
      </c>
      <c r="Z17" s="196">
        <v>0</v>
      </c>
      <c r="AA17" s="196">
        <v>0</v>
      </c>
      <c r="AB17" s="196">
        <v>0</v>
      </c>
      <c r="AC17" s="196">
        <v>0</v>
      </c>
      <c r="AD17" s="196">
        <v>1</v>
      </c>
      <c r="AE17" s="196">
        <v>0</v>
      </c>
      <c r="AF17" s="202">
        <v>1</v>
      </c>
      <c r="AG17" s="215">
        <v>0</v>
      </c>
      <c r="AH17" s="196">
        <v>0</v>
      </c>
      <c r="AI17" s="196">
        <v>0</v>
      </c>
      <c r="AJ17" s="216">
        <v>0</v>
      </c>
      <c r="AK17" s="195">
        <v>1</v>
      </c>
      <c r="AL17" s="196">
        <v>4</v>
      </c>
      <c r="AM17" s="196">
        <v>5</v>
      </c>
      <c r="AN17" s="202">
        <v>0</v>
      </c>
      <c r="AO17" s="283">
        <v>2</v>
      </c>
      <c r="AP17" s="168">
        <v>2</v>
      </c>
      <c r="AQ17" s="168">
        <v>2</v>
      </c>
      <c r="AR17" s="168">
        <v>2</v>
      </c>
      <c r="AS17" s="381" t="s">
        <v>650</v>
      </c>
      <c r="AT17" s="216"/>
      <c r="AU17" s="215"/>
      <c r="AV17" s="216"/>
      <c r="AW17" s="215"/>
      <c r="AX17" s="216"/>
      <c r="AY17" s="136">
        <f t="shared" si="10"/>
        <v>508</v>
      </c>
      <c r="AZ17" s="137">
        <f t="shared" si="10"/>
        <v>384</v>
      </c>
      <c r="BA17" s="137">
        <f t="shared" si="10"/>
        <v>406</v>
      </c>
      <c r="BB17" s="137">
        <f t="shared" si="10"/>
        <v>486</v>
      </c>
      <c r="BC17" s="135">
        <f>IF(ISNUMBER(W17),W17," - ")</f>
        <v>24</v>
      </c>
      <c r="BD17" s="136">
        <f t="shared" ref="BD17:BD22" si="12">IF(ISNUMBER(BA17/AZ17),BA17/AZ17," - ")</f>
        <v>1.0572916666666667</v>
      </c>
      <c r="BE17" s="137">
        <f t="shared" ref="BE17:BE22" si="13">IF(ISNUMBER(BB17/BA17),BB17/BA17, " - ")</f>
        <v>1.1970443349753694</v>
      </c>
      <c r="BF17" s="137">
        <f t="shared" ref="BF17:BF22" si="14">IF(ISNUMBER(BC17/BA17),BC17/BA17, " - ")</f>
        <v>5.9113300492610835E-2</v>
      </c>
      <c r="BG17" s="209">
        <f t="shared" si="11"/>
        <v>2.1970443349753697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36</v>
      </c>
      <c r="K18" s="196">
        <v>29</v>
      </c>
      <c r="L18" s="196">
        <v>39</v>
      </c>
      <c r="M18" s="196">
        <v>10</v>
      </c>
      <c r="N18" s="196">
        <v>25</v>
      </c>
      <c r="O18" s="196">
        <v>0</v>
      </c>
      <c r="P18" s="196">
        <v>0</v>
      </c>
      <c r="Q18" s="196">
        <v>0</v>
      </c>
      <c r="R18" s="196">
        <v>6</v>
      </c>
      <c r="S18" s="196">
        <v>50</v>
      </c>
      <c r="T18" s="196">
        <v>32</v>
      </c>
      <c r="U18" s="196">
        <v>32</v>
      </c>
      <c r="V18" s="196">
        <v>50</v>
      </c>
      <c r="W18" s="196">
        <v>12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32</v>
      </c>
      <c r="BA18" s="139">
        <f t="shared" si="15"/>
        <v>32</v>
      </c>
      <c r="BB18" s="139">
        <f t="shared" si="15"/>
        <v>50</v>
      </c>
      <c r="BC18" s="135">
        <f>IF(ISNUMBER(W18),W18," - ")</f>
        <v>12</v>
      </c>
      <c r="BD18" s="136">
        <f>IF(ISNUMBER(BA18/AZ18),BA18/AZ18," - ")</f>
        <v>1</v>
      </c>
      <c r="BE18" s="137">
        <f>IF(ISNUMBER(BB18/BA18),BB18/BA18, " - ")</f>
        <v>1.5625</v>
      </c>
      <c r="BF18" s="137">
        <f>IF(ISNUMBER(BC18/BA18),BC18/BA18, " - ")</f>
        <v>0.375</v>
      </c>
      <c r="BG18" s="209">
        <f>IF(ISNUMBER((AY18+AZ18)/BA18),(AY18+AZ18)/BA18," - ")</f>
        <v>2.5625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693</v>
      </c>
      <c r="J23" s="197">
        <f t="shared" si="21"/>
        <v>395</v>
      </c>
      <c r="K23" s="197">
        <f t="shared" si="21"/>
        <v>324</v>
      </c>
      <c r="L23" s="197">
        <f t="shared" si="21"/>
        <v>764</v>
      </c>
      <c r="M23" s="197">
        <f t="shared" si="21"/>
        <v>78</v>
      </c>
      <c r="N23" s="197">
        <f t="shared" si="21"/>
        <v>201</v>
      </c>
      <c r="O23" s="197">
        <f t="shared" si="21"/>
        <v>0</v>
      </c>
      <c r="P23" s="197">
        <f t="shared" si="21"/>
        <v>2</v>
      </c>
      <c r="Q23" s="197">
        <f t="shared" si="21"/>
        <v>1</v>
      </c>
      <c r="R23" s="197">
        <f t="shared" si="21"/>
        <v>63</v>
      </c>
      <c r="S23" s="197">
        <f t="shared" si="21"/>
        <v>558</v>
      </c>
      <c r="T23" s="197">
        <f t="shared" si="21"/>
        <v>416</v>
      </c>
      <c r="U23" s="197">
        <f t="shared" si="21"/>
        <v>438</v>
      </c>
      <c r="V23" s="197">
        <f t="shared" si="21"/>
        <v>536</v>
      </c>
      <c r="W23" s="197">
        <f t="shared" si="21"/>
        <v>36</v>
      </c>
      <c r="X23" s="197">
        <f t="shared" si="21"/>
        <v>343</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1</v>
      </c>
      <c r="AL23" s="197">
        <f t="shared" si="21"/>
        <v>4</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558</v>
      </c>
      <c r="AZ23" s="197">
        <f>SUBTOTAL(9,AZ15:AZ22)</f>
        <v>416</v>
      </c>
      <c r="BA23" s="197">
        <f>SUBTOTAL(9,BA15:BA22)</f>
        <v>438</v>
      </c>
      <c r="BB23" s="197">
        <f>SUBTOTAL(9,BB15:BB22)</f>
        <v>536</v>
      </c>
      <c r="BC23" s="197">
        <f>SUBTOTAL(9,BC15:BC22)</f>
        <v>36</v>
      </c>
      <c r="BD23" s="219">
        <f>IF(ISNUMBER(BA23/AZ23),BA23/AZ23," - ")</f>
        <v>1.0528846153846154</v>
      </c>
      <c r="BE23" s="220">
        <f>IF(ISNUMBER(BB23/BA23),BB23/BA23, " - ")</f>
        <v>1.2237442922374429</v>
      </c>
      <c r="BF23" s="220">
        <f>IF(ISNUMBER(BC23/BA23),BC23/BA23, " - ")</f>
        <v>8.2191780821917804E-2</v>
      </c>
      <c r="BG23" s="221">
        <f>IF(ISNUMBER((AY23+AZ23)/BA23),(AY23+AZ23)/BA23," - ")</f>
        <v>2.2237442922374431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2259</v>
      </c>
      <c r="J31" s="144">
        <f t="shared" si="36"/>
        <v>958</v>
      </c>
      <c r="K31" s="144">
        <f t="shared" si="36"/>
        <v>716</v>
      </c>
      <c r="L31" s="144">
        <f t="shared" si="36"/>
        <v>2501</v>
      </c>
      <c r="M31" s="144">
        <f t="shared" si="36"/>
        <v>134</v>
      </c>
      <c r="N31" s="144">
        <f t="shared" si="36"/>
        <v>435</v>
      </c>
      <c r="O31" s="144">
        <f t="shared" si="36"/>
        <v>178</v>
      </c>
      <c r="P31" s="144">
        <f t="shared" si="36"/>
        <v>106</v>
      </c>
      <c r="Q31" s="144">
        <f t="shared" si="36"/>
        <v>92</v>
      </c>
      <c r="R31" s="144">
        <f t="shared" si="36"/>
        <v>2978</v>
      </c>
      <c r="S31" s="144">
        <f t="shared" si="36"/>
        <v>2057</v>
      </c>
      <c r="T31" s="144">
        <f t="shared" si="36"/>
        <v>835</v>
      </c>
      <c r="U31" s="144">
        <f t="shared" si="36"/>
        <v>735</v>
      </c>
      <c r="V31" s="144">
        <f t="shared" si="36"/>
        <v>2157</v>
      </c>
      <c r="W31" s="144">
        <f t="shared" si="36"/>
        <v>72</v>
      </c>
      <c r="X31" s="144">
        <f t="shared" si="36"/>
        <v>474</v>
      </c>
      <c r="Y31" s="144">
        <f t="shared" si="36"/>
        <v>31</v>
      </c>
      <c r="Z31" s="144">
        <f t="shared" si="36"/>
        <v>15</v>
      </c>
      <c r="AA31" s="144">
        <f t="shared" si="36"/>
        <v>19</v>
      </c>
      <c r="AB31" s="144">
        <f t="shared" si="36"/>
        <v>27</v>
      </c>
      <c r="AC31" s="144">
        <f t="shared" si="36"/>
        <v>0</v>
      </c>
      <c r="AD31" s="144">
        <f t="shared" si="36"/>
        <v>1</v>
      </c>
      <c r="AE31" s="144">
        <f t="shared" si="36"/>
        <v>0</v>
      </c>
      <c r="AF31" s="144">
        <f t="shared" si="36"/>
        <v>1</v>
      </c>
      <c r="AG31" s="144">
        <f t="shared" si="36"/>
        <v>23</v>
      </c>
      <c r="AH31" s="144">
        <f t="shared" si="36"/>
        <v>12</v>
      </c>
      <c r="AI31" s="144">
        <f t="shared" si="36"/>
        <v>16</v>
      </c>
      <c r="AJ31" s="144">
        <f t="shared" si="36"/>
        <v>19</v>
      </c>
      <c r="AK31" s="144">
        <f t="shared" si="36"/>
        <v>1</v>
      </c>
      <c r="AL31" s="144">
        <f t="shared" si="36"/>
        <v>4</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2080</v>
      </c>
      <c r="AZ31" s="144">
        <f>SUBTOTAL(9,AZ9:AZ30)</f>
        <v>847</v>
      </c>
      <c r="BA31" s="144">
        <f>SUBTOTAL(9,BA9:BA30)</f>
        <v>751</v>
      </c>
      <c r="BB31" s="144">
        <f>SUBTOTAL(9,BB9:BB30)</f>
        <v>2176</v>
      </c>
      <c r="BC31" s="145">
        <f>SUBTOTAL(9,BC9:BC30)</f>
        <v>170</v>
      </c>
      <c r="BD31" s="227">
        <f>IF(ISNUMBER(BA31/AZ31),BA31/AZ31," - ")</f>
        <v>0.88665879574970485</v>
      </c>
      <c r="BE31" s="224">
        <f>IF(ISNUMBER(BB31/BA31),BB31/BA31, " - ")</f>
        <v>2.8974700399467377</v>
      </c>
      <c r="BF31" s="224">
        <f>IF(ISNUMBER(BC31/BA31),BC31/BA31, " - ")</f>
        <v>0.22636484687083888</v>
      </c>
      <c r="BG31" s="145">
        <f>IF(ISNUMBER((AY31+AZ31)/BA31),(AY31+AZ31)/BA31," - ")</f>
        <v>3.8974700399467377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5G0Wr4i7gFzakKuC5vPLDCFO2p+PtV85OUA2YY8gPTu1MLlUcjsI77PdtujvNZyaxOZpfmRh3FMg/Urf0EkIQ==" saltValue="p8xojRlAL3HmC4QV6UMy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uWZtVkKJoaWGBxq9AAUlbXRSCkth8iiYj3fpdwFtp7NQtVgKf0jHppmXOgFCnYZpF7aOyWK8/jr+uOdHuN4g==" saltValue="ScHqIqVr0yksjkHKAmUa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ORGAZ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103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2910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0.71006944444444442</v>
      </c>
      <c r="BH12" s="764">
        <f>IF(ISNUMBER(((IF(J_V="SI",Datos!L12/Datos!K12,(Datos!L12+Datos!AB12)/(Datos!K12+Datos!AA12)))*11)/factor_trimestre),((IF(J_V="SI",Datos!L12/Datos!K12,(Datos!L12+Datos!AB12)/(Datos!K12+Datos!AA12)))*11)/factor_trimestre," - ")</f>
        <v>12.836185819070906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4.140786749482402E-3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104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91</v>
      </c>
      <c r="AD14" s="1198">
        <f t="shared" si="2"/>
        <v>0</v>
      </c>
      <c r="AE14" s="1198">
        <f t="shared" si="2"/>
        <v>0</v>
      </c>
      <c r="AF14" s="1198">
        <f t="shared" si="2"/>
        <v>14</v>
      </c>
      <c r="AG14" s="1198">
        <f t="shared" si="2"/>
        <v>0</v>
      </c>
      <c r="AH14" s="1198">
        <f t="shared" si="2"/>
        <v>27</v>
      </c>
      <c r="AI14" s="1198">
        <f t="shared" si="2"/>
        <v>0</v>
      </c>
      <c r="AJ14" s="1198">
        <f t="shared" si="2"/>
        <v>0</v>
      </c>
      <c r="AK14" s="1198">
        <f t="shared" si="2"/>
        <v>0</v>
      </c>
      <c r="AL14" s="1198">
        <f t="shared" si="2"/>
        <v>0</v>
      </c>
      <c r="AM14" s="1198">
        <f t="shared" si="2"/>
        <v>2915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234</v>
      </c>
      <c r="BE14" s="1198">
        <f t="shared" si="2"/>
        <v>0</v>
      </c>
      <c r="BF14" s="1198">
        <f t="shared" si="2"/>
        <v>0</v>
      </c>
      <c r="BG14" s="1198">
        <f>IF(ISNUMBER(Datos!K14/Datos!J14),Datos!K14/Datos!J14," - ")</f>
        <v>0.69626998223801062</v>
      </c>
      <c r="BH14" s="1202">
        <f>IF(ISNUMBER(((Datos!L14/Datos!K14)*11)/factor_trimestre),((Datos!L14/Datos!K14)*11)/factor_trimestre," - ")</f>
        <v>13.293367346938775</v>
      </c>
      <c r="BI14" s="1198">
        <f>IF(ISNUMBER('Resol  Asuntos'!D14/NºAsuntos!G14),'Resol  Asuntos'!D14/NºAsuntos!G14," - ")</f>
        <v>0.13625304136253041</v>
      </c>
      <c r="BJ14" s="1198" t="str">
        <f>IF(ISNUMBER(Datos!CI14/Datos!CJ14),Datos!CI14/Datos!CJ14," - ")</f>
        <v xml:space="preserve"> - </v>
      </c>
      <c r="BK14" s="1198">
        <f>SUBTOTAL(9,BK8:BK13)</f>
        <v>0</v>
      </c>
      <c r="BL14" s="1198">
        <f>IF(ISNUMBER((I14-AB14+L14)/(F14)),(I14-AB14+L14)/(F14)," - ")</f>
        <v>-0.14285714285714285</v>
      </c>
      <c r="BM14" s="1203">
        <f>SUBTOTAL(9,BM9:BM13)</f>
        <v>0.25414078674948243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661</v>
      </c>
      <c r="G17" s="743">
        <f>IF(ISNUMBER(IF(D_I="SI",Datos!I17,Datos!I17+Datos!AC17)),IF(D_I="SI",Datos!I17,Datos!I17+Datos!AC17)," - ")</f>
        <v>661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295</v>
      </c>
      <c r="AC17" s="240">
        <f>IF(ISNUMBER(Datos!Q17),Datos!Q17," - ")</f>
        <v>1</v>
      </c>
      <c r="AD17" s="374"/>
      <c r="AE17" s="562"/>
      <c r="AF17" s="741">
        <f>IF(ISNUMBER(IF(D_I="SI",Datos!L17,Datos!L17+Datos!AF17)),IF(D_I="SI",Datos!L17,Datos!L17+Datos!AF17)," - ")</f>
        <v>725</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176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0.82172701949860727</v>
      </c>
      <c r="BH17" s="764">
        <f>IF(ISNUMBER(((IF(D_I="SI",Datos!L17/Datos!K17,(Datos!L17+Datos!AF17)/(Datos!K17+Datos!AE17)))*11)/factor_trimestre),((IF(D_I="SI",Datos!L17/Datos!K17,(Datos!L17+Datos!AF17)/(Datos!K17+Datos!AE17)))*11)/factor_trimestre," - ")</f>
        <v>7.3728813559322042</v>
      </c>
      <c r="BI17" s="266">
        <f>IF(ISNUMBER('Resol  Asuntos'!D17/NºAsuntos!G17),'Resol  Asuntos'!D17/NºAsuntos!G17," - ")</f>
        <v>0.23050847457627119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39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0.80555555555555558</v>
      </c>
      <c r="BH18" s="764">
        <f>IF(ISNUMBER(((IF(D_I="SI",Datos!L18/Datos!K18,(Datos!L18+Datos!AF18)/(Datos!K18+Datos!AE18)))*11)/factor_trimestre),((IF(D_I="SI",Datos!L18/Datos!K18,(Datos!L18+Datos!AF18)/(Datos!K18+Datos!AE18)))*11)/factor_trimestre," - ")</f>
        <v>4.0344827586206904</v>
      </c>
      <c r="BI18" s="763">
        <f>IF(ISNUMBER('Resol  Asuntos'!D18/NºAsuntos!G18),'Resol  Asuntos'!D18/NºAsuntos!G18," - ")</f>
        <v>0.34482758620689657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661</v>
      </c>
      <c r="G23" s="1197">
        <f>SUBTOTAL(9,G16:G22)</f>
        <v>693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324</v>
      </c>
      <c r="AC23" s="1198">
        <f t="shared" si="5"/>
        <v>1</v>
      </c>
      <c r="AD23" s="1198">
        <f t="shared" si="5"/>
        <v>0</v>
      </c>
      <c r="AE23" s="1198">
        <f t="shared" si="5"/>
        <v>0</v>
      </c>
      <c r="AF23" s="1198">
        <f t="shared" si="5"/>
        <v>764</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201</v>
      </c>
      <c r="BE23" s="1198">
        <f t="shared" si="5"/>
        <v>0</v>
      </c>
      <c r="BF23" s="1198">
        <f t="shared" si="5"/>
        <v>0</v>
      </c>
      <c r="BG23" s="1198">
        <f>IF(ISNUMBER(Datos!K23/Datos!J23),Datos!K23/Datos!J23," - ")</f>
        <v>0.82025316455696207</v>
      </c>
      <c r="BH23" s="1202">
        <f>IF(ISNUMBER(((Datos!L23/Datos!K23)*11)/factor_trimestre),((Datos!L23/Datos!K23)*11)/factor_trimestre," - ")</f>
        <v>7.0740740740740735</v>
      </c>
      <c r="BI23" s="1198">
        <f>SUBTOTAL(9,BI16:BI22)</f>
        <v>0.57533606078316779</v>
      </c>
      <c r="BJ23" s="1198">
        <f>SUBTOTAL(9,BJ16:BJ22)</f>
        <v>0</v>
      </c>
      <c r="BK23" s="1198">
        <f>SUBTOTAL(9,BK16:BK22)</f>
        <v>0</v>
      </c>
      <c r="BL23" s="1198">
        <f>IF(ISNUMBER((I23-AB23+L23)/(F23)),(I23-AB23+L23)/(F23)," - ")</f>
        <v>-0.49016641452344933</v>
      </c>
      <c r="BM23" s="1205">
        <f>IF(ISNUMBER((Datos!P23-Datos!Q23)/(Datos!R23-Datos!P23+Datos!Q23)),(Datos!P23-Datos!Q23)/(Datos!R23-Datos!P23+Datos!Q23)," - ")</f>
        <v>1.6129032258064516E-2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675</v>
      </c>
      <c r="G31" s="1117">
        <f t="shared" si="18"/>
        <v>707</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326</v>
      </c>
      <c r="AC31" s="1118">
        <f t="shared" si="19"/>
        <v>92</v>
      </c>
      <c r="AD31" s="1118">
        <f t="shared" si="19"/>
        <v>0</v>
      </c>
      <c r="AE31" s="1118">
        <f t="shared" si="19"/>
        <v>0</v>
      </c>
      <c r="AF31" s="1125">
        <f t="shared" si="19"/>
        <v>778</v>
      </c>
      <c r="AG31" s="1125">
        <f t="shared" si="19"/>
        <v>0</v>
      </c>
      <c r="AH31" s="1125">
        <f t="shared" si="19"/>
        <v>27</v>
      </c>
      <c r="AI31" s="1125">
        <f t="shared" si="19"/>
        <v>0</v>
      </c>
      <c r="AJ31" s="1118">
        <f t="shared" si="19"/>
        <v>0</v>
      </c>
      <c r="AK31" s="1125">
        <f t="shared" si="19"/>
        <v>0</v>
      </c>
      <c r="AL31" s="1125">
        <f t="shared" si="19"/>
        <v>0</v>
      </c>
      <c r="AM31" s="1125">
        <f t="shared" si="19"/>
        <v>2978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435</v>
      </c>
      <c r="BE31" s="1117">
        <f t="shared" si="19"/>
        <v>0</v>
      </c>
      <c r="BF31" s="1127">
        <f t="shared" si="19"/>
        <v>0</v>
      </c>
      <c r="BG31" s="1223">
        <f>IF(ISNUMBER(Datos!K31/Datos!J31),Datos!K31/Datos!J31," - ")</f>
        <v>0.74739039665970775</v>
      </c>
      <c r="BH31" s="1223">
        <f>IF(ISNUMBER(((Datos!L31/Datos!K31)*11)/factor_trimestre),((Datos!L31/Datos!K31)*11)/factor_trimestre," - ")</f>
        <v>10.479050279329609</v>
      </c>
      <c r="BI31" s="1103">
        <f>IF(ISNUMBER(Datos!J31/Datos!I31),Datos!J31/Datos!I31," - ")</f>
        <v>0.42408145196989816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-0.48296296296296298</v>
      </c>
      <c r="BM31" s="1188">
        <f>IF(ISNUMBER((Datos!P31-Datos!Q31+R31)/(Datos!R31-Datos!P31+Datos!Q31-R31)),(Datos!P31-Datos!Q31+R31)/(Datos!R31-Datos!P31+Datos!Q31-R31)," - ")</f>
        <v>4.7233468286099868E-3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337.78217833390795</v>
      </c>
      <c r="G33" s="674">
        <f>IF(ISNUMBER(STDEV(G8:G30)),STDEV(G8:G30),"-")</f>
        <v>324.79685959072941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148.39185576419905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33.789262876160613</v>
      </c>
      <c r="BD33" s="673"/>
      <c r="BE33" s="673">
        <f>IF(ISNUMBER(STDEV(BE8:BE30)),STDEV(BE8:BE30),"-")</f>
        <v>0</v>
      </c>
      <c r="BF33" s="678">
        <f>IF(ISNUMBER(STDEV(BF8:BF30)),STDEV(BF8:BF30),"-")</f>
        <v>0</v>
      </c>
      <c r="BG33" s="1052">
        <f>IF(ISNUMBER(STDEV(BG8:BG30)),STDEV(BG8:BG30),"-")</f>
        <v>0.10888230716264349</v>
      </c>
      <c r="BH33" s="1058">
        <f>IF(ISNUMBER(STDEV(BH8:BH30)),STDEV(BH8:BH30),"-")</f>
        <v>6.0941481002092779</v>
      </c>
      <c r="BI33" s="273">
        <f>IF(ISNUMBER(STDEV(BI8:BI30)),STDEV(BI8:BI30),"-")</f>
        <v>0.18936085606931755</v>
      </c>
      <c r="BJ33" s="244" t="str">
        <f>IF(ISNUMBER(BL33/BM33),BL33/BM33," - ")</f>
        <v xml:space="preserve"> - </v>
      </c>
      <c r="BK33" s="709"/>
      <c r="BL33" s="681">
        <f>IF(ISNUMBER(STDEV(BL8:BL30)),STDEV(BL8:BL30),"-")</f>
        <v>0.24558474116420614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emm81drLLZl5A+sY+H6cH7BwWXV2ByIXPr9TzPDHSbpBYn7yvHd1dxAC1w9jW82EYhrY4jbXqOe5HzhRVfC+Q==" saltValue="e9TPBNdYMmNnczF9/90j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ORGAZ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v>
      </c>
      <c r="AA12" s="551" t="str">
        <f>IF(ISNUMBER(IF(J_V="SI",Datos!L12,Datos!L12+Datos!AB12)-IF(Monitorios="SI",Datos!CD12,0)),
                          IF(J_V="SI",Datos!L12,Datos!L12+Datos!AB12)-IF(Monitorios="SI",Datos!CD12,0),
                          " - ")</f>
        <v xml:space="preserve"> - </v>
      </c>
      <c r="AB12" s="549"/>
      <c r="AC12" s="549"/>
      <c r="AD12" s="563"/>
      <c r="AE12" s="563">
        <f>IF(ISNUMBER(Datos!R12),Datos!R12," - ")</f>
        <v>2910</v>
      </c>
      <c r="AF12" s="693" t="str">
        <f>IF(ISNUMBER(Datos!BV12),Datos!BV12," - ")</f>
        <v xml:space="preserve"> - </v>
      </c>
      <c r="AG12" s="552" t="str">
        <f>IF(ISNUMBER(Datos!DV12),Datos!DV12," - ")</f>
        <v xml:space="preserve"> - </v>
      </c>
      <c r="AH12" s="553"/>
      <c r="AI12" s="554"/>
      <c r="AJ12" s="552">
        <f>IF(ISNUMBER(Datos!M12),Datos!M12," - ")</f>
        <v>55</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12.836185819070906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4.140786749482402E-3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91</v>
      </c>
      <c r="AA14" s="1199">
        <f t="shared" si="3"/>
        <v>14</v>
      </c>
      <c r="AB14" s="1199">
        <f t="shared" si="3"/>
        <v>0</v>
      </c>
      <c r="AC14" s="1199">
        <f t="shared" si="3"/>
        <v>0</v>
      </c>
      <c r="AD14" s="1199">
        <f t="shared" si="3"/>
        <v>0</v>
      </c>
      <c r="AE14" s="1199">
        <f t="shared" si="3"/>
        <v>2915</v>
      </c>
      <c r="AF14" s="1211">
        <f t="shared" si="3"/>
        <v>0</v>
      </c>
      <c r="AG14" s="1211">
        <f t="shared" si="3"/>
        <v>0</v>
      </c>
      <c r="AH14" s="1211">
        <f t="shared" si="3"/>
        <v>0</v>
      </c>
      <c r="AI14" s="1211">
        <f t="shared" si="3"/>
        <v>0</v>
      </c>
      <c r="AJ14" s="1211">
        <f t="shared" si="3"/>
        <v>56</v>
      </c>
      <c r="AK14" s="1211">
        <f t="shared" si="3"/>
        <v>234</v>
      </c>
      <c r="AL14" s="1211">
        <f t="shared" si="3"/>
        <v>0</v>
      </c>
      <c r="AM14" s="1211">
        <f t="shared" si="3"/>
        <v>0</v>
      </c>
      <c r="AN14" s="1211">
        <f t="shared" si="3"/>
        <v>0</v>
      </c>
      <c r="AO14" s="1203">
        <f>IF(ISNUMBER(((NºAsuntos!I14/NºAsuntos!G14)*11)/factor_trimestre),((NºAsuntos!I14/NºAsuntos!G14)*11)/factor_trimestre," - ")</f>
        <v>12.875912408759122</v>
      </c>
      <c r="AP14" s="1213" t="str">
        <f>IF(ISNUMBER(Datos!CI14/Datos!CJ14),Datos!CI14/Datos!CJ14," - ")</f>
        <v xml:space="preserve"> - </v>
      </c>
      <c r="AQ14" s="1236">
        <f t="shared" ref="AQ14:AV14" si="4">SUBTOTAL(9,AQ9:AQ13)</f>
        <v>0</v>
      </c>
      <c r="AR14" s="1236">
        <f t="shared" si="4"/>
        <v>0.25414078674948243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661</v>
      </c>
      <c r="G17" s="552">
        <f>IF(ISNUMBER(IF(D_I="SI",Datos!I17,Datos!I17+Datos!AC17)),IF(D_I="SI",Datos!I17,Datos!I17+Datos!AC17)," - ")</f>
        <v>661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295</v>
      </c>
      <c r="Z17" s="805">
        <f>IF(ISNUMBER(Datos!Q17),Datos!Q17," - ")</f>
        <v>1</v>
      </c>
      <c r="AA17" s="551">
        <f>IF(ISNUMBER(IF(D_I="SI",Datos!L17,Datos!L17+Datos!AF17)),IF(D_I="SI",Datos!L17,Datos!L17+Datos!AF17)," - ")</f>
        <v>725</v>
      </c>
      <c r="AB17" s="549"/>
      <c r="AC17" s="549"/>
      <c r="AD17" s="563"/>
      <c r="AE17" s="563">
        <f>IF(ISNUMBER(Datos!R17),Datos!R17," - ")</f>
        <v>57</v>
      </c>
      <c r="AF17" s="693" t="str">
        <f>IF(ISNUMBER(Datos!BV17),Datos!BV17," - ")</f>
        <v xml:space="preserve"> - </v>
      </c>
      <c r="AG17" s="552"/>
      <c r="AH17" s="553"/>
      <c r="AI17" s="554"/>
      <c r="AJ17" s="552">
        <f>IF(ISNUMBER(Datos!M17),Datos!M17," - ")</f>
        <v>68</v>
      </c>
      <c r="AK17" s="693">
        <f>IF(ISNUMBER(Datos!N17),Datos!N17," - ")</f>
        <v>176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7.3728813559322042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39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10</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4.0344827586206904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661</v>
      </c>
      <c r="G23" s="1197">
        <f>SUBTOTAL(9,G16:G22)</f>
        <v>693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324</v>
      </c>
      <c r="Z23" s="1240">
        <f t="shared" si="6"/>
        <v>1</v>
      </c>
      <c r="AA23" s="1240">
        <f t="shared" si="6"/>
        <v>764</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78</v>
      </c>
      <c r="AK23" s="1240">
        <f t="shared" si="6"/>
        <v>201</v>
      </c>
      <c r="AL23" s="1240">
        <f t="shared" si="6"/>
        <v>0</v>
      </c>
      <c r="AM23" s="1240">
        <f t="shared" si="6"/>
        <v>0</v>
      </c>
      <c r="AN23" s="1240">
        <f t="shared" si="6"/>
        <v>0</v>
      </c>
      <c r="AO23" s="1242">
        <f>IF(ISNUMBER(((NºAsuntos!I23/NºAsuntos!G23)*11)/factor_trimestre),((NºAsuntos!I23/NºAsuntos!G23)*11)/factor_trimestre," - ")</f>
        <v>7.0740740740740735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675</v>
      </c>
      <c r="G31" s="1117">
        <f t="shared" si="12"/>
        <v>707</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326</v>
      </c>
      <c r="Z31" s="1124">
        <f t="shared" si="13"/>
        <v>92</v>
      </c>
      <c r="AA31" s="1125">
        <f t="shared" si="13"/>
        <v>778</v>
      </c>
      <c r="AB31" s="1125">
        <f t="shared" si="13"/>
        <v>0</v>
      </c>
      <c r="AC31" s="1125">
        <f t="shared" si="13"/>
        <v>0</v>
      </c>
      <c r="AD31" s="1126">
        <f t="shared" si="13"/>
        <v>0</v>
      </c>
      <c r="AE31" s="1126">
        <f t="shared" si="13"/>
        <v>2978</v>
      </c>
      <c r="AF31" s="1127">
        <f t="shared" si="13"/>
        <v>0</v>
      </c>
      <c r="AG31" s="1128">
        <f t="shared" si="13"/>
        <v>0</v>
      </c>
      <c r="AH31" s="1129">
        <f t="shared" si="13"/>
        <v>0</v>
      </c>
      <c r="AI31" s="1127">
        <f t="shared" si="13"/>
        <v>0</v>
      </c>
      <c r="AJ31" s="1117">
        <f t="shared" si="13"/>
        <v>134</v>
      </c>
      <c r="AK31" s="1117">
        <f t="shared" si="13"/>
        <v>435</v>
      </c>
      <c r="AL31" s="1117">
        <f t="shared" si="13"/>
        <v>0</v>
      </c>
      <c r="AM31" s="1130">
        <f t="shared" si="13"/>
        <v>0</v>
      </c>
      <c r="AN31" s="1120">
        <f>IF(ISNUMBER(Datos!K31/Datos!J31),Datos!K31/Datos!J31," - ")</f>
        <v>0.74739039665970775</v>
      </c>
      <c r="AO31" s="1120">
        <f>IF(ISNUMBER(FIND("06",Criterios!A8,1)),(IF(ISNUMBER(((Datos!R31/Datos!Q31)*11)/factor_trimestre),((Datos!R31/Datos!Q31)*11)/factor_trimestre," - ")),(IF(ISNUMBER(((Datos!L31/Datos!K31)*11)/factor_trimestre),((Datos!L31/Datos!K31)*11)/factor_trimestre," - ")))</f>
        <v>10.479050279329609</v>
      </c>
      <c r="AP31" s="1131" t="str">
        <f>IF(ISNUMBER(Datos!CI31/Datos!CJ31),Datos!CI31/Datos!CJ31," - ")</f>
        <v xml:space="preserve"> - </v>
      </c>
      <c r="AQ31" s="1131">
        <f>IF(OR(ISNUMBER(FIND("01",Criterios!A8,1)),ISNUMBER(FIND("02",Criterios!A8,1)),ISNUMBER(FIND("03",Criterios!A8,1)),ISNUMBER(FIND("04",Criterios!A8,1))),(J31-Y31+K31)/(F31-K31),(I31-Y31+K31)/(F31-K31))</f>
        <v>-0.48296296296296298</v>
      </c>
      <c r="AR31" s="1131">
        <f>IF(ISNUMBER((Datos!P31-Datos!Q31+O31)/(Datos!R31-Datos!P31+Datos!Q31-O31)),(Datos!P31-Datos!Q31+O31)/(Datos!R31-Datos!P31+Datos!Q31-O31)," - ")</f>
        <v>4.7233468286099868E-3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337.78217833390795</v>
      </c>
      <c r="G33" s="674">
        <f>IF(ISNUMBER(STDEV(G8:G30)),STDEV(G8:G30),"-")</f>
        <v>324.79685959072941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33.789262876160613</v>
      </c>
      <c r="AK33" s="276"/>
      <c r="AL33" s="276">
        <f>IF(ISNUMBER(STDEV(AL8:AL30)),STDEV(AL8:AL30),"-")</f>
        <v>0</v>
      </c>
      <c r="AM33" s="278">
        <f>IF(ISNUMBER(STDEV(AM8:AM30)),STDEV(AM8:AM30),"-")</f>
        <v>0</v>
      </c>
      <c r="AN33" s="660">
        <f>IF(ISNUMBER(STDEV(AN8:AN30)),STDEV(AN8:AN30),"-")</f>
        <v>0</v>
      </c>
      <c r="AO33" s="661">
        <f>IF(ISNUMBER(STDEV(AO8:AO30)),STDEV(AO8:AO30),"-")</f>
        <v>6.064149453130546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uRrMX1QjXBZ4cMa2AK+FJVk1xRd9/00vU8K3XxIk5ifgQON1UCxIH7gyXrNDegk/CV9N7qIHsnb3zRotNa5AA==" saltValue="WkxTZbtmuDa5tZanOlmt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JOCUL26LGbjaVdYY6nI1U0SHhsDBaXSnHTvYVMzV1U9/I47rBo1QhKzbzruHRW+RWc8Xly0Ym6+weCjc9/y2w==" saltValue="SycYaa5dZ4iA3O+HHtnl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8z9T9ls/vl4ktR+Jr3VAHvQamVJNMABH31YWnFkDh7hUBD4cpei94aPGQ9W2URExe6MIy0zuabY+WXhYtaUjA==" saltValue="fCNq+3NRaQQtqOyjEY5p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ORGAZ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0.13625304136253041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9.6345449504736405E-2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aAVsJixe62t/OdLw2vNTejm49M4xJyzyEhQZQLBoKPH9qtipEoLwj196tH7QUesGJU+18RsFNBMQ5ebRfLKrg==" saltValue="zf/Ig4J1S7Q8d8xL56QF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jLuaEZkal34WwUr5CSfzuOLflPiSE1XWxwNRa2gXQjabH9l+si+QbABpVOM8aRenbBQuQO++qV/v5DvmmJMIg==" saltValue="CQXn++djcaiSbol4EJvN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ORGAZ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2</v>
      </c>
      <c r="F10" s="452">
        <f>IF(ISNUMBER(E10/B10),E10/B10," - ")</f>
        <v>2</v>
      </c>
      <c r="G10" s="451">
        <f>IF(ISNUMBER(Datos!K10),Datos!K10," - ")</f>
        <v>2</v>
      </c>
      <c r="H10" s="452">
        <f>IF(ISNUMBER(G10/B10),G10/B10," - ")</f>
        <v>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1583</v>
      </c>
      <c r="D12" s="452">
        <f>IF(ISNUMBER(C12/Datos!BH12),C12/Datos!BH12," - ")</f>
        <v>791.5</v>
      </c>
      <c r="E12" s="451">
        <f>IF(ISNUMBER(IF(J_V="SI",Datos!J12,Datos!J12+Datos!Z12)),IF(J_V="SI",Datos!J12,Datos!J12+Datos!Z12)," - ")</f>
        <v>576</v>
      </c>
      <c r="F12" s="452">
        <f>IF(ISNUMBER(E12/B12),E12/B12," - ")</f>
        <v>288</v>
      </c>
      <c r="G12" s="451">
        <f>IF(ISNUMBER(IF(J_V="SI",Datos!K12,Datos!K12+Datos!AA12)),IF(J_V="SI",Datos!K12,Datos!K12+Datos!AA12)," - ")</f>
        <v>409</v>
      </c>
      <c r="H12" s="452">
        <f>IF(ISNUMBER(G12/B12),G12/B12," - ")</f>
        <v>204.5</v>
      </c>
      <c r="I12" s="451">
        <f>IF(ISNUMBER(IF(J_V="SI",Datos!L12,Datos!L12+Datos!AB12)),IF(J_V="SI",Datos!L12,Datos!L12+Datos!AB12)," - ")</f>
        <v>1750</v>
      </c>
      <c r="J12" s="452">
        <f>IF(ISNUMBER(I12/B12),I12/B12," - ")</f>
        <v>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1597</v>
      </c>
      <c r="D14" s="1147" t="str">
        <f>IF(ISNUMBER(C14/Datos!BI14),C14/Datos!BI14," - ")</f>
        <v xml:space="preserve"> - </v>
      </c>
      <c r="E14" s="1146">
        <f>SUBTOTAL(9,E8:E13)</f>
        <v>578</v>
      </c>
      <c r="F14" s="1147">
        <f>IF(ISNUMBER(E14/B14),E14/B14," - ")</f>
        <v>289</v>
      </c>
      <c r="G14" s="1146">
        <f>SUBTOTAL(9,G8:G13)</f>
        <v>411</v>
      </c>
      <c r="H14" s="1147">
        <f>IF(ISNUMBER(G14/B14),G14/B14," - ")</f>
        <v>205.5</v>
      </c>
      <c r="I14" s="1146">
        <f>SUBTOTAL(9,I8:I13)</f>
        <v>1764</v>
      </c>
      <c r="J14" s="1147">
        <f>IF(ISNUMBER(I14/B14),I14/B14," - ")</f>
        <v>882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661</v>
      </c>
      <c r="D17" s="452">
        <f>IF(ISNUMBER(C17/Datos!BH17),C17/Datos!BH17," - ")</f>
        <v>330.5</v>
      </c>
      <c r="E17" s="451">
        <f>IF(ISNUMBER(IF(D_I="SI",Datos!J17,Datos!J17+Datos!AD17)),IF(D_I="SI",Datos!J17,Datos!J17+Datos!AD17)," - ")</f>
        <v>359</v>
      </c>
      <c r="F17" s="452">
        <f>IF(ISNUMBER(E17/B17),E17/B17," - ")</f>
        <v>179.5</v>
      </c>
      <c r="G17" s="451">
        <f>IF(ISNUMBER(IF(D_I="SI",Datos!K17,Datos!K17+Datos!AE17)),IF(D_I="SI",Datos!K17,Datos!K17+Datos!AE17)," - ")</f>
        <v>295</v>
      </c>
      <c r="H17" s="452">
        <f>IF(ISNUMBER(G17/B17),G17/B17," - ")</f>
        <v>147.5</v>
      </c>
      <c r="I17" s="451">
        <f>IF(ISNUMBER(IF(D_I="SI",Datos!L17,Datos!L17+Datos!AF17)),IF(D_I="SI",Datos!L17,Datos!L17+Datos!AF17)," - ")</f>
        <v>725</v>
      </c>
      <c r="J17" s="452">
        <f>IF(ISNUMBER(I17/B17),I17/B17," - ")</f>
        <v>362.5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36</v>
      </c>
      <c r="F18" s="452">
        <f>IF(ISNUMBER(E18/B18),E18/B18," - ")</f>
        <v>36</v>
      </c>
      <c r="G18" s="451">
        <f>IF(ISNUMBER(IF(D_I="SI",Datos!K18,Datos!K18+Datos!AE18)),IF(D_I="SI",Datos!K18,Datos!K18+Datos!AE18)," - ")</f>
        <v>29</v>
      </c>
      <c r="H18" s="452">
        <f>IF(ISNUMBER(G18/B18),G18/B18," - ")</f>
        <v>29</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693</v>
      </c>
      <c r="D23" s="1147" t="str">
        <f>IF(ISNUMBER(C23/Datos!BI23),C23/Datos!BI23," - ")</f>
        <v xml:space="preserve"> - </v>
      </c>
      <c r="E23" s="1146">
        <f>SUBTOTAL(9,E15:E22)</f>
        <v>395</v>
      </c>
      <c r="F23" s="1147">
        <f>IF(ISNUMBER(E23/B23),E23/B23," - ")</f>
        <v>197.5</v>
      </c>
      <c r="G23" s="1146">
        <f>SUBTOTAL(9,G15:G22)</f>
        <v>324</v>
      </c>
      <c r="H23" s="1147">
        <f>IF(ISNUMBER(G23/B23),G23/B23," - ")</f>
        <v>162</v>
      </c>
      <c r="I23" s="1146">
        <f>SUBTOTAL(9,I15:I22)</f>
        <v>764</v>
      </c>
      <c r="J23" s="1147">
        <f>IF(ISNUMBER(I23/B23),I23/B23," - ")</f>
        <v>382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2290</v>
      </c>
      <c r="D31" s="1085" t="str">
        <f>IF(ISNUMBER(C31/Datos!BI31),C31/Datos!BI31," - ")</f>
        <v xml:space="preserve"> - </v>
      </c>
      <c r="E31" s="1084">
        <f>SUBTOTAL(9,E9:E30)</f>
        <v>973</v>
      </c>
      <c r="F31" s="1085">
        <f>IF(ISNUMBER(E31/B31),E31/B31," - ")</f>
        <v>486.5</v>
      </c>
      <c r="G31" s="1084">
        <f>SUBTOTAL(9,G9:G30)</f>
        <v>735</v>
      </c>
      <c r="H31" s="1085">
        <f>IF(ISNUMBER(G31/B31),G31/B31," - ")</f>
        <v>367.5</v>
      </c>
      <c r="I31" s="1084">
        <f>SUBTOTAL(9,I9:I30)</f>
        <v>2528</v>
      </c>
      <c r="J31" s="1085">
        <f>IF(ISNUMBER(I31/B31),I31/B31," - ")</f>
        <v>1264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CX6hj4ONnaaERgzZIMCw4NMX+uBMFmFJ1zlMA36c3H206o4Z537PAvg8Wz2HNScVBG8UkJ/NG8qMMZ7exCR2g==" saltValue="+MIGwPMlVZkNyb0OYmpL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ORGAZ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12.836185819070906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4.140786749482402E-3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91</v>
      </c>
      <c r="AE14" s="1257">
        <f t="shared" si="1"/>
        <v>0</v>
      </c>
      <c r="AF14" s="1257">
        <f t="shared" si="1"/>
        <v>14</v>
      </c>
      <c r="AG14" s="1257">
        <f t="shared" si="1"/>
        <v>0</v>
      </c>
      <c r="AH14" s="1257">
        <f t="shared" si="1"/>
        <v>2910</v>
      </c>
      <c r="AI14" s="1257">
        <f t="shared" si="1"/>
        <v>0</v>
      </c>
      <c r="AJ14" s="1257">
        <f t="shared" si="1"/>
        <v>0</v>
      </c>
      <c r="AK14" s="1257">
        <f t="shared" si="1"/>
        <v>0</v>
      </c>
      <c r="AL14" s="1257">
        <f t="shared" si="1"/>
        <v>56</v>
      </c>
      <c r="AM14" s="1257">
        <f t="shared" si="1"/>
        <v>234</v>
      </c>
      <c r="AN14" s="1257">
        <f t="shared" si="1"/>
        <v>0</v>
      </c>
      <c r="AO14" s="1257">
        <f t="shared" si="1"/>
        <v>0</v>
      </c>
      <c r="AP14" s="1262">
        <f>IF(ISNUMBER(((Datos!L14/Datos!K14)*11)/factor_trimestre),((Datos!L14/Datos!K14)*11)/factor_trimestre," - ")</f>
        <v>13.293367346938775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4.140786749482402E-3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7.0740740740740735</v>
      </c>
      <c r="AQ23" s="1262">
        <f>IF(ISNUMBER(((Datos!M23/Datos!L23)*11)/factor_trimestre),((Datos!M23/Datos!L23)*11)/factor_trimestre," - ")</f>
        <v>0.30628272251308902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1.6129032258064516E-2</v>
      </c>
      <c r="AW23" s="1265">
        <f>IF(ISNUMBER((Datos!Q23-Datos!R23)/(Datos!S23-Datos!Q23+Datos!R23)),(Datos!Q23-Datos!R23)/(Datos!S23-Datos!Q23+Datos!R23)," - ")</f>
        <v>-0.1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91</v>
      </c>
      <c r="AE31" s="1284">
        <f t="shared" si="9"/>
        <v>0</v>
      </c>
      <c r="AF31" s="1285">
        <f t="shared" si="9"/>
        <v>14</v>
      </c>
      <c r="AG31" s="1285">
        <f t="shared" si="9"/>
        <v>0</v>
      </c>
      <c r="AH31" s="1285">
        <f t="shared" si="9"/>
        <v>2910</v>
      </c>
      <c r="AI31" s="1285">
        <f t="shared" si="9"/>
        <v>0</v>
      </c>
      <c r="AJ31" s="1286">
        <f t="shared" si="9"/>
        <v>0</v>
      </c>
      <c r="AK31" s="1286">
        <f t="shared" si="9"/>
        <v>0</v>
      </c>
      <c r="AL31" s="1278">
        <f t="shared" si="9"/>
        <v>56</v>
      </c>
      <c r="AM31" s="1278">
        <f t="shared" si="9"/>
        <v>234</v>
      </c>
      <c r="AN31" s="1278">
        <f t="shared" si="9"/>
        <v>0</v>
      </c>
      <c r="AO31" s="1278">
        <f t="shared" si="9"/>
        <v>0</v>
      </c>
      <c r="AP31" s="1278">
        <f>IF(ISNUMBER(((Datos!L31/Datos!K31)*11)/factor_trimestre),((Datos!L31/Datos!K31)*11)/factor_trimestre," - ")</f>
        <v>10.479050279329609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4.7233468286099868E-3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28.535358183605592</v>
      </c>
      <c r="AM33" s="1006"/>
      <c r="AN33" s="1006">
        <f>IF(ISNUMBER(STDEV(AN8:AN30)),STDEV(AN8:AN30),"-")</f>
        <v>0</v>
      </c>
      <c r="AO33" s="1012">
        <f>IF(ISNUMBER(STDEV(AO8:AO30)),STDEV(AO8:AO30),"-")</f>
        <v>0</v>
      </c>
      <c r="AP33" s="1065">
        <f>IF(ISNUMBER(STDEV(AP8:AP30)),STDEV(AP8:AP30),"-")</f>
        <v>5.7159281635436532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r2Qp0GeXl8nzF+4SRT8+0/MQW6QA5sxQp9arw0u7UX8/S6E2CM3KhU78tZ3cnvyEocRSnVLAZp8qUhWv2xQfg==" saltValue="uA8pB9qUFrg3ZpsW/jUw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ORGAZ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c1N5aKKhCPVXDPxJJPn9QY9VcKEdh2GO7HGi7fBFurevuQYBY7xCtme3v3x8tmRaiHyKfJrT/N5q0KgtqGbQQ==" saltValue="PglkP9ltO/GDAf9Eu+im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ORGAZ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55</v>
      </c>
      <c r="E12" s="452">
        <f t="shared" si="0"/>
        <v>27.5</v>
      </c>
      <c r="F12" s="451">
        <f>IF(ISNUMBER(Datos!N12),Datos!N12," - ")</f>
        <v>233</v>
      </c>
      <c r="G12" s="452">
        <f t="shared" si="1"/>
        <v>116.5</v>
      </c>
      <c r="H12" s="451">
        <f>IF(ISNUMBER(Datos!O12),Datos!O12," - ")</f>
        <v>178</v>
      </c>
      <c r="I12" s="452">
        <f t="shared" si="2"/>
        <v>89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56</v>
      </c>
      <c r="E14" s="1147">
        <f t="shared" si="0"/>
        <v>18.666666666666668</v>
      </c>
      <c r="F14" s="1146">
        <f>SUBTOTAL(9,F9:F13)</f>
        <v>234</v>
      </c>
      <c r="G14" s="1147">
        <f t="shared" si="1"/>
        <v>78</v>
      </c>
      <c r="H14" s="1146">
        <f>SUBTOTAL(9,H9:H13)</f>
        <v>178</v>
      </c>
      <c r="I14" s="1147">
        <f>IF(ISNUMBER(H14/B14),H14/B14," - ")</f>
        <v>59.333333333333336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68</v>
      </c>
      <c r="E17" s="452">
        <f t="shared" si="3"/>
        <v>34</v>
      </c>
      <c r="F17" s="451">
        <f>IF(ISNUMBER(Datos!N17),Datos!N17," - ")</f>
        <v>176</v>
      </c>
      <c r="G17" s="452">
        <f t="shared" si="4"/>
        <v>88</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78</v>
      </c>
      <c r="E23" s="1147">
        <f t="shared" si="3"/>
        <v>26</v>
      </c>
      <c r="F23" s="1146">
        <f>SUBTOTAL(9,F16:F22)</f>
        <v>201</v>
      </c>
      <c r="G23" s="1147">
        <f t="shared" si="4"/>
        <v>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134</v>
      </c>
      <c r="E31" s="1085">
        <f>IF(ISNUMBER(D31/B31),D31/B31," - ")</f>
        <v>67</v>
      </c>
      <c r="F31" s="1084">
        <f>SUBTOTAL(9,F8:F30)</f>
        <v>435</v>
      </c>
      <c r="G31" s="1085">
        <f>IF(ISNUMBER(F31/B31),F31/B31," - ")</f>
        <v>217.5</v>
      </c>
      <c r="H31" s="1084">
        <f>SUBTOTAL(9,H8:H30)</f>
        <v>178</v>
      </c>
      <c r="I31" s="1085">
        <f>IF(ISNUMBER(H31/B31),H31/B31," - ")</f>
        <v>89</v>
      </c>
    </row>
    <row r="34" spans="1:1">
      <c r="A34" s="439" t="str">
        <f>Criterios!A4</f>
        <v>Fecha Informe: 06 may. 2023</v>
      </c>
    </row>
    <row r="39" spans="1:1">
      <c r="A39" s="462"/>
    </row>
  </sheetData>
  <sheetProtection algorithmName="SHA-512" hashValue="sp7priGVK7OreEfu/sb8BK07VDZ3V54CU6FVOjZH8NiidCnfR3Zl5XQoiULcPtFsh5O3sFIn+AfK6HfDk5H5+A==" saltValue="jhIZvW4zHU7Df6Ca1J12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ORGAZ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103</v>
      </c>
      <c r="C12" s="489">
        <f>IF(ISNUMBER(Datos!Q12),Datos!Q12," - ")</f>
        <v>91</v>
      </c>
      <c r="D12" s="456">
        <f>IF(ISNUMBER(Datos!R12),Datos!R12," - ")</f>
        <v>2910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104</v>
      </c>
      <c r="C14" s="1150">
        <f>SUBTOTAL(9,C9:C13)</f>
        <v>91</v>
      </c>
      <c r="D14" s="1148">
        <f>SUBTOTAL(9,D9:D13)</f>
        <v>2915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57</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92</v>
      </c>
      <c r="D31" s="1090">
        <f>SUBTOTAL(9,D8:D30)</f>
        <v>2978</v>
      </c>
    </row>
    <row r="32" spans="1:4" ht="7.5" customHeight="1"/>
    <row r="33" spans="1:1" ht="6" customHeight="1"/>
    <row r="34" spans="1:1">
      <c r="A34" s="439" t="str">
        <f>Criterios!A4</f>
        <v>Fecha Informe: 06 may. 2023</v>
      </c>
    </row>
    <row r="39" spans="1:1">
      <c r="A39" s="462"/>
    </row>
  </sheetData>
  <sheetProtection algorithmName="SHA-512" hashValue="4Q8F4G6L9gQMTXp9T5gRIRurThhEUGN/i3sB37Mm5Hycysljd0BvY62R/NrSsvE6RLvCIUwyqO3sQks05h01Ew==" saltValue="RUcxjoKwYPv2qOHzRjEp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ORGAZ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-0.6216216216216216</v>
      </c>
      <c r="C10" s="515">
        <f>IF(ISNUMBER((Datos!J10-Datos!T10)/Datos!T10),(Datos!J10-Datos!T10)/Datos!T10," - ")</f>
        <v>-0.6</v>
      </c>
      <c r="D10" s="515">
        <f>IF(ISNUMBER((Datos!K10-Datos!U10)/Datos!U10),(Datos!K10-Datos!U10)/Datos!U10," - ")</f>
        <v>-0.6</v>
      </c>
      <c r="E10" s="515">
        <f>IF(ISNUMBER((Datos!L10-Datos!V10)/Datos!V10),(Datos!L10-Datos!V10)/Datos!V10," - ")</f>
        <v>-0.6216216216216216</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-5.4054054054054099E-2</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-4.7619047619047658E-2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6.5993265993265993E-2</v>
      </c>
      <c r="C12" s="515">
        <f>IF(ISNUMBER(
   IF(J_V="SI",(Datos!J12-Datos!T12)/Datos!T12,(Datos!J12+Datos!Z12-(Datos!T12+Datos!AH12))/(Datos!T12+Datos!AH12))
     ),IF(J_V="SI",(Datos!J12-Datos!T12)/Datos!T12,(Datos!J12+Datos!Z12-(Datos!T12+Datos!AH12))/(Datos!T12+Datos!AH12))," - ")</f>
        <v>0.352112676056338</v>
      </c>
      <c r="D12" s="515">
        <f>IF(ISNUMBER(
   IF(J_V="SI",(Datos!K12-Datos!U12)/Datos!U12,(Datos!K12+Datos!AA12-(Datos!U12+Datos!AI12))/(Datos!U12+Datos!AI12))
     ),IF(J_V="SI",(Datos!K12-Datos!U12)/Datos!U12,(Datos!K12+Datos!AA12-(Datos!U12+Datos!AI12))/(Datos!U12+Datos!AI12))," - ")</f>
        <v>0.32792207792207795</v>
      </c>
      <c r="E12" s="515">
        <f>IF(ISNUMBER(
   IF(J_V="SI",(Datos!L12-Datos!V12)/Datos!V12,(Datos!L12+Datos!AB12-(Datos!V12+Datos!AJ12))/(Datos!V12+Datos!AJ12))
     ),IF(J_V="SI",(Datos!L12-Datos!V12)/Datos!V12,(Datos!L12+Datos!AB12-(Datos!V12+Datos!AJ12))/(Datos!V12+Datos!AJ12))," - ")</f>
        <v>9.1703056768558958E-2</v>
      </c>
      <c r="F12" s="515">
        <f>IF(ISNUMBER((Datos!M12-Datos!W12)/Datos!W12),(Datos!M12-Datos!W12)/Datos!W12," - ")</f>
        <v>0.66666666666666663</v>
      </c>
      <c r="G12" s="516">
        <f>IF(ISNUMBER((Datos!N12-Datos!X12)/Datos!X12),(Datos!N12-Datos!X12)/Datos!X12," - ")</f>
        <v>0.77862595419847325</v>
      </c>
      <c r="H12" s="514">
        <f>IF(ISNUMBER(((NºAsuntos!G12/NºAsuntos!E12)-Datos!BD12)/Datos!BD12),((NºAsuntos!G12/NºAsuntos!E12)-Datos!BD12)/Datos!BD12," - ")</f>
        <v>-1.7890963203463235E-2</v>
      </c>
      <c r="I12" s="515">
        <f>IF(ISNUMBER(((NºAsuntos!I12/NºAsuntos!G12)-Datos!BE12)/Datos!BE12),((NºAsuntos!I12/NºAsuntos!G12)-Datos!BE12)/Datos!BE12," - ")</f>
        <v>-0.17788620663883573</v>
      </c>
      <c r="J12" s="521">
        <f>IF(ISNUMBER((('Resol  Asuntos'!D12/NºAsuntos!G12)-Datos!BF12)/Datos!BF12),(('Resol  Asuntos'!D12/NºAsuntos!G12)-Datos!BF12)/Datos!BF12," - ")</f>
        <v>-0.68383135183560717</v>
      </c>
      <c r="K12" s="522">
        <f>IF(ISNUMBER((((NºAsuntos!C12+NºAsuntos!E12)/NºAsuntos!G12)-Datos!BG12)/Datos!BG12),(((NºAsuntos!C12+NºAsuntos!E12)/NºAsuntos!G12)-Datos!BG12)/Datos!BG12," - ")</f>
        <v>-0.14921590227213694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4.9277266754270695E-2</v>
      </c>
      <c r="C14" s="1152">
        <f>IF(ISNUMBER(
   IF(J_V="SI",(Datos!J14-Datos!T14)/Datos!T14,(Datos!J14+Datos!Z14-(Datos!T14+Datos!AH14))/(Datos!T14+Datos!AH14))
     ),IF(J_V="SI",(Datos!J14-Datos!T14)/Datos!T14,(Datos!J14+Datos!Z14-(Datos!T14+Datos!AH14))/(Datos!T14+Datos!AH14))," - ")</f>
        <v>0.34106728538283065</v>
      </c>
      <c r="D14" s="1152">
        <f>IF(ISNUMBER(
   IF(J_V="SI",(Datos!K14-Datos!U14)/Datos!U14,(Datos!K14+Datos!AA14-(Datos!U14+Datos!AI14))/(Datos!U14+Datos!AI14))
     ),IF(J_V="SI",(Datos!K14-Datos!U14)/Datos!U14,(Datos!K14+Datos!AA14-(Datos!U14+Datos!AI14))/(Datos!U14+Datos!AI14))," - ")</f>
        <v>0.31309904153354634</v>
      </c>
      <c r="E14" s="1152">
        <f>IF(ISNUMBER(
   IF(J_V="SI",(Datos!L14-Datos!V14)/Datos!V14,(Datos!L14+Datos!AB14-(Datos!V14+Datos!AJ14))/(Datos!V14+Datos!AJ14))
     ),IF(J_V="SI",(Datos!L14-Datos!V14)/Datos!V14,(Datos!L14+Datos!AB14-(Datos!V14+Datos!AJ14))/(Datos!V14+Datos!AJ14))," - ")</f>
        <v>7.5609756097560973E-2</v>
      </c>
      <c r="F14" s="1153">
        <f>IF(ISNUMBER((Datos!M14-Datos!W14)/Datos!W14),(Datos!M14-Datos!W14)/Datos!W14," - ")</f>
        <v>0.55555555555555558</v>
      </c>
      <c r="G14" s="1154">
        <f>IF(ISNUMBER((Datos!N14-Datos!X14)/Datos!X14),(Datos!N14-Datos!X14)/Datos!X14," - ")</f>
        <v>0.7862595419847328</v>
      </c>
      <c r="H14" s="1154">
        <f>IF(ISNUMBER(((NºAsuntos!G14/NºAsuntos!E14)-Datos!BD14)/Datos!BD14),((NºAsuntos!G14/NºAsuntos!E14)-Datos!BD14)/Datos!BD14," - ")</f>
        <v>-2.0855212974120334E-2</v>
      </c>
      <c r="I14" s="1154">
        <f>IF(ISNUMBER(((NºAsuntos!I14/NºAsuntos!G14)-Datos!BE14)/Datos!BE14),((NºAsuntos!I14/NºAsuntos!G14)-Datos!BE14)/Datos!BE14," - ")</f>
        <v>-0.18086166993056793</v>
      </c>
      <c r="J14" s="1154">
        <f>IF(ISNUMBER((('Resol  Asuntos'!D14/NºAsuntos!G14)-Datos!BF14)/Datos!BF14),(('Resol  Asuntos'!D14/NºAsuntos!G14)-Datos!BF14)/Datos!BF14," - ")</f>
        <v>-0.68173729890692525</v>
      </c>
      <c r="K14" s="1154">
        <f>IF(ISNUMBER((((NºAsuntos!C14+NºAsuntos!E14)/NºAsuntos!G14)-Datos!BG14)/Datos!BG14),(((NºAsuntos!C14+NºAsuntos!E14)/NºAsuntos!G14)-Datos!BG14)/Datos!BG14," - ")</f>
        <v>-0.1518756470487104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0.30118110236220474</v>
      </c>
      <c r="C17" s="515">
        <f>IF(ISNUMBER(
   IF(D_I="SI",(Datos!J17-Datos!T17)/Datos!T17,(Datos!J17+Datos!AD17-(Datos!T17+Datos!AL17))/(Datos!T17+Datos!AL17))
     ),IF(D_I="SI",(Datos!J17-Datos!T17)/Datos!T17,(Datos!J17+Datos!AD17-(Datos!T17+Datos!AL17))/(Datos!T17+Datos!AL17))," - ")</f>
        <v>-6.5104166666666671E-2</v>
      </c>
      <c r="D17" s="515">
        <f>IF(ISNUMBER(
   IF(D_I="SI",(Datos!K17-Datos!U17)/Datos!U17,(Datos!K17+Datos!AE17-(Datos!U17+Datos!AM17))/(Datos!U17+Datos!AM17))
     ),IF(D_I="SI",(Datos!K17-Datos!U17)/Datos!U17,(Datos!K17+Datos!AE17-(Datos!U17+Datos!AM17))/(Datos!U17+Datos!AM17))," - ")</f>
        <v>-0.27339901477832512</v>
      </c>
      <c r="E17" s="515">
        <f>IF(ISNUMBER(
   IF(D_I="SI",(Datos!L17-Datos!V17)/Datos!V17,(Datos!L17+Datos!AF17-(Datos!V17+Datos!AN17))/(Datos!V17+Datos!AN17))
     ),IF(D_I="SI",(Datos!L17-Datos!V17)/Datos!V17,(Datos!L17+Datos!AF17-(Datos!V17+Datos!AN17))/(Datos!V17+Datos!AN17))," - ")</f>
        <v>0.49176954732510286</v>
      </c>
      <c r="F17" s="515">
        <f>IF(ISNUMBER((Datos!M17-Datos!W17)/Datos!W17),(Datos!M17-Datos!W17)/Datos!W17," - ")</f>
        <v>1.8333333333333333</v>
      </c>
      <c r="G17" s="516">
        <f>IF(ISNUMBER((Datos!N17-Datos!X17)/Datos!X17),(Datos!N17-Datos!X17)/Datos!X17," - ")</f>
        <v>-0.46341463414634149</v>
      </c>
      <c r="H17" s="514">
        <f>IF(ISNUMBER(((NºAsuntos!G17/NºAsuntos!E17)-Datos!BD17)/Datos!BD17),((NºAsuntos!G17/NºAsuntos!E17)-Datos!BD17)/Datos!BD17," - ")</f>
        <v>-0.22280006037570155</v>
      </c>
      <c r="I17" s="515">
        <f>IF(ISNUMBER(((NºAsuntos!I17/NºAsuntos!G17)-Datos!BE17)/Datos!BE17),((NºAsuntos!I17/NºAsuntos!G17)-Datos!BE17)/Datos!BE17," - ")</f>
        <v>1.0530794447931926</v>
      </c>
      <c r="J17" s="521">
        <f>IF(ISNUMBER((('Resol  Asuntos'!D17/NºAsuntos!G17)-Datos!BF17)/Datos!BF17),(('Resol  Asuntos'!D17/NºAsuntos!G17)-Datos!BF17)/Datos!BF17," - ")</f>
        <v>2.8994350282485875</v>
      </c>
      <c r="K17" s="522">
        <f>IF(ISNUMBER((((NºAsuntos!C17+NºAsuntos!E17)/NºAsuntos!G17)-Datos!BG17)/Datos!BG17),(((NºAsuntos!C17+NºAsuntos!E17)/NºAsuntos!G17)-Datos!BG17)/Datos!BG17," - ")</f>
        <v>0.57376301588508005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-9.375E-2</v>
      </c>
      <c r="E18" s="515">
        <f>IF(ISNUMBER(
   IF(D_I="SI",(Datos!L18-Datos!V18)/Datos!V18,(Datos!L18+Datos!AF18-(Datos!V18+Datos!AN18))/(Datos!V18+Datos!AN18))
     ),IF(D_I="SI",(Datos!L18-Datos!V18)/Datos!V18,(Datos!L18+Datos!AF18-(Datos!V18+Datos!AN18))/(Datos!V18+Datos!AN18))," - ")</f>
        <v>-0.22</v>
      </c>
      <c r="F18" s="515">
        <f>IF(ISNUMBER((Datos!M18-Datos!W18)/Datos!W18),(Datos!M18-Datos!W18)/Datos!W18," - ")</f>
        <v>-0.16666666666666666</v>
      </c>
      <c r="G18" s="516">
        <f>IF(ISNUMBER((Datos!N18-Datos!X18)/Datos!X18),(Datos!N18-Datos!X18)/Datos!X18," - ")</f>
        <v>0.66666666666666663</v>
      </c>
      <c r="H18" s="514">
        <f>IF(ISNUMBER(((NºAsuntos!G18/NºAsuntos!E18)-Datos!BD18)/Datos!BD18),((NºAsuntos!G18/NºAsuntos!E18)-Datos!BD18)/Datos!BD18," - ")</f>
        <v>-0.19444444444444442</v>
      </c>
      <c r="I18" s="515">
        <f>IF(ISNUMBER(((NºAsuntos!I18/NºAsuntos!G18)-Datos!BE18)/Datos!BE18),((NºAsuntos!I18/NºAsuntos!G18)-Datos!BE18)/Datos!BE18," - ")</f>
        <v>-0.1393103448275862</v>
      </c>
      <c r="J18" s="521">
        <f>IF(ISNUMBER((('Resol  Asuntos'!D18/NºAsuntos!G18)-Datos!BF18)/Datos!BF18),(('Resol  Asuntos'!D18/NºAsuntos!G18)-Datos!BF18)/Datos!BF18," - ")</f>
        <v>-8.0459770114942472E-2</v>
      </c>
      <c r="K18" s="522">
        <f>IF(ISNUMBER((((NºAsuntos!C18+NºAsuntos!E18)/NºAsuntos!G18)-Datos!BG18)/Datos!BG18),(((NºAsuntos!C18+NºAsuntos!E18)/NºAsuntos!G18)-Datos!BG18)/Datos!BG18," - ")</f>
        <v>-8.4945332211942892E-2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0.24193548387096775</v>
      </c>
      <c r="C23" s="1152">
        <f>IF(ISNUMBER(
   IF(Criterios!B14="SI",(Datos!J23-Datos!T23)/Datos!T23,(Datos!J23+Datos!AD23-(Datos!T23+Datos!AL23))/(Datos!T23+Datos!AL23))
     ),IF(Criterios!B14="SI",(Datos!J23-Datos!T23)/Datos!T23,(Datos!J23+Datos!AD23-(Datos!T23+Datos!AL23))/(Datos!T23+Datos!AL23))," - ")</f>
        <v>-5.0480769230769232E-2</v>
      </c>
      <c r="D23" s="1152">
        <f>IF(ISNUMBER(
   IF(Criterios!B14="SI",(Datos!K23-Datos!U23)/Datos!U23,(Datos!K23+Datos!AE23-(Datos!U23+Datos!AM23))/(Datos!U23+Datos!AM23))
     ),IF(Criterios!B14="SI",(Datos!K23-Datos!U23)/Datos!U23,(Datos!K23+Datos!AE23-(Datos!U23+Datos!AM23))/(Datos!U23+Datos!AM23))," - ")</f>
        <v>-0.26027397260273971</v>
      </c>
      <c r="E23" s="1152">
        <f>IF(ISNUMBER(
   IF(Criterios!B14="SI",(Datos!L23-Datos!V23)/Datos!V23,(Datos!L23+Datos!AF23-(Datos!V23+Datos!AN23))/(Datos!V23+Datos!AN23))
     ),IF(Criterios!B14="SI",(Datos!L23-Datos!V23)/Datos!V23,(Datos!L23+Datos!AF23-(Datos!V23+Datos!AN23))/(Datos!V23+Datos!AN23))," - ")</f>
        <v>0.42537313432835822</v>
      </c>
      <c r="F23" s="1153">
        <f>IF(ISNUMBER((Datos!M23-Datos!W23)/Datos!W23),(Datos!M23-Datos!W23)/Datos!W23," - ")</f>
        <v>1.1666666666666667</v>
      </c>
      <c r="G23" s="1154">
        <f>IF(ISNUMBER((Datos!N23-Datos!X23)/Datos!X23),(Datos!N23-Datos!X23)/Datos!X23," - ")</f>
        <v>-0.4139941690962099</v>
      </c>
      <c r="H23" s="1154">
        <f>IF(ISNUMBER(((NºAsuntos!G23/NºAsuntos!E23)-Datos!BD23)/Datos!BD23),((NºAsuntos!G23/NºAsuntos!E23)-Datos!BD23)/Datos!BD23," - ")</f>
        <v>-0.22094676608288538</v>
      </c>
      <c r="I23" s="1154">
        <f>IF(ISNUMBER(((NºAsuntos!I23/NºAsuntos!G23)-Datos!BE23)/Datos!BE23),((NºAsuntos!I23/NºAsuntos!G23)-Datos!BE23)/Datos!BE23," - ")</f>
        <v>0.9268933112216694</v>
      </c>
      <c r="J23" s="1154">
        <f>IF(ISNUMBER((('Resol  Asuntos'!D23/NºAsuntos!G23)-Datos!BF23)/Datos!BF23),(('Resol  Asuntos'!D23/NºAsuntos!G23)-Datos!BF23)/Datos!BF23," - ")</f>
        <v>1.9290123456790123</v>
      </c>
      <c r="K23" s="1154">
        <f>IF(ISNUMBER((((NºAsuntos!C23+NºAsuntos!E23)/NºAsuntos!G23)-Datos!BG23)/Datos!BG23),(((NºAsuntos!C23+NºAsuntos!E23)/NºAsuntos!G23)-Datos!BG23)/Datos!BG23," - ")</f>
        <v>0.51007681192486098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0.10096153846153846</v>
      </c>
      <c r="C31" s="1092">
        <f>IF(ISNUMBER(
   IF(J_V="SI",(Datos!J31-Datos!T31)/Datos!T31,(Datos!J31+Datos!Z31-(Datos!T31+Datos!AH31))/(Datos!T31+Datos!AH31))
     ),IF(J_V="SI",(Datos!J31-Datos!T31)/Datos!T31,(Datos!J31+Datos!Z31-(Datos!T31+Datos!AH31))/(Datos!T31+Datos!AH31))," - ")</f>
        <v>0.1487603305785124</v>
      </c>
      <c r="D31" s="1092">
        <f>IF(ISNUMBER(
   IF(J_V="SI",(Datos!K31-Datos!U31)/Datos!U31,(Datos!K31+Datos!AA31-(Datos!U31+Datos!AI31))/(Datos!U31+Datos!AI31))
     ),IF(J_V="SI",(Datos!K31-Datos!U31)/Datos!U31,(Datos!K31+Datos!AA31-(Datos!U31+Datos!AI31))/(Datos!U31+Datos!AI31))," - ")</f>
        <v>-2.1304926764314249E-2</v>
      </c>
      <c r="E31" s="1092">
        <f>IF(ISNUMBER(
   IF(J_V="SI",(Datos!L31-Datos!V31)/Datos!V31,(Datos!L31+Datos!AB31-(Datos!V31+Datos!AJ31))/(Datos!V31+Datos!AJ31))
     ),IF(J_V="SI",(Datos!L31-Datos!V31)/Datos!V31,(Datos!L31+Datos!AB31-(Datos!V31+Datos!AJ31))/(Datos!V31+Datos!AJ31))," - ")</f>
        <v>0.16176470588235295</v>
      </c>
      <c r="F31" s="1093">
        <f>IF(ISNUMBER((Datos!M31-Datos!W31)/Datos!W31),(Datos!M31-Datos!W31)/Datos!W31," - ")</f>
        <v>0.86111111111111116</v>
      </c>
      <c r="G31" s="1094">
        <f>IF(ISNUMBER((Datos!N31-Datos!X31)/Datos!X31),(Datos!N31-Datos!X31)/Datos!X31," - ")</f>
        <v>-8.2278481012658222E-2</v>
      </c>
      <c r="H31" s="1095">
        <f>IF(ISNUMBER((Tasas!B31-Datos!BD31)/Datos!BD31),(Tasas!B31-Datos!BD31)/Datos!BD31," - ")</f>
        <v>-0.14804241826246065</v>
      </c>
      <c r="I31" s="1096">
        <f>IF(ISNUMBER((Tasas!C31-Datos!BE31)/Datos!BE31),(Tasas!C31-Datos!BE31)/Datos!BE31," - ")</f>
        <v>0.18705482192877154</v>
      </c>
      <c r="J31" s="1097">
        <f>IF(ISNUMBER((Tasas!D31-Datos!BF31)/Datos!BF31),(Tasas!D31-Datos!BF31)/Datos!BF31," - ")</f>
        <v>-0.19460584233693476</v>
      </c>
      <c r="K31" s="1097">
        <f>IF(ISNUMBER((Tasas!E31-Datos!BG31)/Datos!BG31),(Tasas!E31-Datos!BG31)/Datos!BG31," - ")</f>
        <v>0.1390609130567157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aRb4jWtVwnivC9RtgumUyBWww+nkzwVvcp+8+uf+eypvIKk4iVIHm6AocqHZq1j5k8EJtkR4Gg4B+J6uWDmlQ==" saltValue="su6/yhyLB1Lx8tuYb4Nj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ORGAZ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7</v>
      </c>
      <c r="D10" s="499">
        <f>IF(ISNUMBER('Resol  Asuntos'!D10/NºAsuntos!G10),'Resol  Asuntos'!D10/NºAsuntos!G10," - ")</f>
        <v>0.5</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0.71006944444444442</v>
      </c>
      <c r="C12" s="498">
        <f>IF(ISNUMBER(NºAsuntos!I12/NºAsuntos!G12),NºAsuntos!I12/NºAsuntos!G12," - ")</f>
        <v>4.2787286063569683</v>
      </c>
      <c r="D12" s="499">
        <f>IF(ISNUMBER('Resol  Asuntos'!D12/NºAsuntos!G12),'Resol  Asuntos'!D12/NºAsuntos!G12," - ")</f>
        <v>0.13447432762836187</v>
      </c>
      <c r="E12" s="500">
        <f>IF(ISNUMBER((NºAsuntos!C12+NºAsuntos!E12)/NºAsuntos!G12),(NºAsuntos!C12+NºAsuntos!E12)/NºAsuntos!G12," - ")</f>
        <v>5.2787286063569683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0.71107266435986161</v>
      </c>
      <c r="C14" s="1156">
        <f>IF(ISNUMBER(NºAsuntos!I14/NºAsuntos!G14),NºAsuntos!I14/NºAsuntos!G14," - ")</f>
        <v>4.2919708029197077</v>
      </c>
      <c r="D14" s="1157">
        <f>IF(ISNUMBER('Resol  Asuntos'!D14/NºAsuntos!G14),'Resol  Asuntos'!D14/NºAsuntos!G14," - ")</f>
        <v>0.13625304136253041</v>
      </c>
      <c r="E14" s="1158">
        <f>IF(ISNUMBER((NºAsuntos!C14+NºAsuntos!E14)/NºAsuntos!G14),(NºAsuntos!C14+NºAsuntos!E14)/NºAsuntos!G14," - ")</f>
        <v>5.2919708029197077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0.82172701949860727</v>
      </c>
      <c r="C17" s="498">
        <f>IF(ISNUMBER(NºAsuntos!I17/NºAsuntos!G17),NºAsuntos!I17/NºAsuntos!G17," - ")</f>
        <v>2.4576271186440679</v>
      </c>
      <c r="D17" s="499">
        <f>IF(ISNUMBER('Resol  Asuntos'!D17/NºAsuntos!G17),'Resol  Asuntos'!D17/NºAsuntos!G17," - ")</f>
        <v>0.23050847457627119</v>
      </c>
      <c r="E17" s="500">
        <f>IF(ISNUMBER((NºAsuntos!C17+NºAsuntos!E17)/NºAsuntos!G17),(NºAsuntos!C17+NºAsuntos!E17)/NºAsuntos!G17," - ")</f>
        <v>3.4576271186440679</v>
      </c>
      <c r="G17" s="523"/>
    </row>
    <row r="18" spans="1:7">
      <c r="A18" s="450" t="str">
        <f>Datos!A18</f>
        <v>Jdos. Violencia contra la mujer</v>
      </c>
      <c r="B18" s="497">
        <f>IF(ISNUMBER(NºAsuntos!G18/NºAsuntos!E18),NºAsuntos!G18/NºAsuntos!E18," - ")</f>
        <v>0.80555555555555558</v>
      </c>
      <c r="C18" s="498">
        <f>IF(ISNUMBER(NºAsuntos!I18/NºAsuntos!G18),NºAsuntos!I18/NºAsuntos!G18," - ")</f>
        <v>1.3448275862068966</v>
      </c>
      <c r="D18" s="499">
        <f>IF(ISNUMBER('Resol  Asuntos'!D18/NºAsuntos!G18),'Resol  Asuntos'!D18/NºAsuntos!G18," - ")</f>
        <v>0.34482758620689657</v>
      </c>
      <c r="E18" s="500">
        <f>IF(ISNUMBER((NºAsuntos!C18+NºAsuntos!E18)/NºAsuntos!G18),(NºAsuntos!C18+NºAsuntos!E18)/NºAsuntos!G18," - ")</f>
        <v>2.3448275862068964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0.82025316455696207</v>
      </c>
      <c r="C23" s="1156">
        <f>IF(ISNUMBER(NºAsuntos!I23/NºAsuntos!G23),NºAsuntos!I23/NºAsuntos!G23," - ")</f>
        <v>2.3580246913580245</v>
      </c>
      <c r="D23" s="1159">
        <f>IF(ISNUMBER('Resol  Asuntos'!D23/NºAsuntos!G23),'Resol  Asuntos'!D23/NºAsuntos!G23," - ")</f>
        <v>0.24074074074074073</v>
      </c>
      <c r="E23" s="1158">
        <f>IF(ISNUMBER((NºAsuntos!C23+NºAsuntos!E23)/NºAsuntos!G23),(NºAsuntos!C23+NºAsuntos!E23)/NºAsuntos!G23," - ")</f>
        <v>3.3580246913580245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0.75539568345323738</v>
      </c>
      <c r="C31" s="1099">
        <f>IF(ISNUMBER(NºAsuntos!I31/NºAsuntos!G31),NºAsuntos!I31/NºAsuntos!G31," - ")</f>
        <v>3.4394557823129253</v>
      </c>
      <c r="D31" s="1100">
        <f>IF(ISNUMBER('Resol  Asuntos'!D31/NºAsuntos!G31),'Resol  Asuntos'!D31/NºAsuntos!G31," - ")</f>
        <v>0.18231292517006803</v>
      </c>
      <c r="E31" s="1101">
        <f>IF(ISNUMBER((NºAsuntos!C31+NºAsuntos!E31)/NºAsuntos!G31),(NºAsuntos!C31+NºAsuntos!E31)/NºAsuntos!G31," - ")</f>
        <v>4.4394557823129253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DhPclqUehwscWFDv2k3Unkc2sNJ0xjWlsXkugvmZRkn+QLtNcMcg/NcSbAZ6qWpzGSgXNpr4lgg1oEyRAAkIg==" saltValue="7nlUOEO0E2M9MLrORgpG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ORGAZ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14</v>
      </c>
      <c r="AB10" s="374">
        <f>IF(ISNUMBER(Datos!R10),Datos!R10," - ")</f>
        <v>5</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21</v>
      </c>
      <c r="AN10" s="267">
        <f>IF(ISNUMBER('Resol  Asuntos'!D10/NºAsuntos!G10),'Resol  Asuntos'!D10/NºAsuntos!G10," - ")</f>
        <v>0.5</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v>
      </c>
      <c r="Y12" s="374">
        <f t="shared" si="0"/>
        <v>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0.71006944444444442</v>
      </c>
      <c r="AM12" s="284">
        <f>IF(ISNUMBER(((NºAsuntos!I12/NºAsuntos!G12)*11)/factor_trimestre),((NºAsuntos!I12/NºAsuntos!G12)*11)/factor_trimestre," - ")</f>
        <v>12.836185819070906</v>
      </c>
      <c r="AN12" s="267">
        <f>IF(ISNUMBER('Resol  Asuntos'!D12/NºAsuntos!G12),'Resol  Asuntos'!D12/NºAsuntos!G12," - ")</f>
        <v>0.13447432762836187</v>
      </c>
      <c r="AO12" s="268">
        <f>IF(ISNUMBER((NºAsuntos!C12+NºAsuntos!E12)/NºAsuntos!G12),(NºAsuntos!C12+NºAsuntos!E12)/NºAsuntos!G12," - ")</f>
        <v>5.2787286063569683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104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91</v>
      </c>
      <c r="Y14" s="1165">
        <f t="shared" si="6"/>
        <v>93</v>
      </c>
      <c r="Z14" s="1165">
        <f t="shared" si="6"/>
        <v>0</v>
      </c>
      <c r="AA14" s="1165">
        <f t="shared" si="6"/>
        <v>14</v>
      </c>
      <c r="AB14" s="1165">
        <f t="shared" si="6"/>
        <v>2915</v>
      </c>
      <c r="AC14" s="1165">
        <f t="shared" si="6"/>
        <v>19</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0.71107266435986161</v>
      </c>
      <c r="AM14" s="1171">
        <f>IF(ISNUMBER(((NºAsuntos!I14/NºAsuntos!G14)*11)/factor_trimestre),((NºAsuntos!I14/NºAsuntos!G14)*11)/factor_trimestre," - ")</f>
        <v>12.875912408759122</v>
      </c>
      <c r="AN14" s="1172">
        <f>IF(ISNUMBER('Resol  Asuntos'!D14/NºAsuntos!G14),'Resol  Asuntos'!D14/NºAsuntos!G14," - ")</f>
        <v>0.13625304136253041</v>
      </c>
      <c r="AO14" s="1173">
        <f>IF(ISNUMBER((NºAsuntos!C14+NºAsuntos!E14)/NºAsuntos!G14),(NºAsuntos!C14+NºAsuntos!E14)/NºAsuntos!G14," - ")</f>
        <v>5.2919708029197077</v>
      </c>
      <c r="AP14" s="1174" t="str">
        <f t="shared" si="2"/>
        <v xml:space="preserve"> - </v>
      </c>
      <c r="AQ14" s="1174">
        <f>IF(ISNUMBER((H14-W14+K14)/(F14)),(H14-W14+K14)/(F14)," - ")</f>
        <v>-0.14285714285714285</v>
      </c>
      <c r="AR14" s="1175">
        <f>IF(ISNUMBER((Datos!P14-Datos!Q14)/(Datos!R14-Datos!P14+Datos!Q14)),(Datos!P14-Datos!Q14)/(Datos!R14-Datos!P14+Datos!Q14)," - ")</f>
        <v>4.4796691936595454E-3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661</v>
      </c>
      <c r="G17" s="373">
        <f>IF(ISNUMBER(IF(D_I="SI",Datos!I17,Datos!I17+Datos!AC17)),IF(D_I="SI",Datos!I17,Datos!I17+Datos!AC17)," - ")</f>
        <v>661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295</v>
      </c>
      <c r="X17" s="240">
        <f>IF(ISNUMBER(Datos!Q17),Datos!Q17," - ")</f>
        <v>1</v>
      </c>
      <c r="Y17" s="374">
        <f t="shared" ref="Y17:Y22" si="9">SUM(W17:X17)</f>
        <v>296</v>
      </c>
      <c r="Z17" s="375" t="str">
        <f>IF(ISNUMBER(Datos!CC17),Datos!CC17," - ")</f>
        <v xml:space="preserve"> - </v>
      </c>
      <c r="AA17" s="372">
        <f>IF(ISNUMBER(IF(D_I="SI",Datos!L17,Datos!L17+Datos!AF17)),IF(D_I="SI",Datos!L17,Datos!L17+Datos!AF17)," - ")</f>
        <v>725</v>
      </c>
      <c r="AB17" s="374">
        <f>IF(ISNUMBER(Datos!R17),Datos!R17," - ")</f>
        <v>57</v>
      </c>
      <c r="AC17" s="374">
        <f t="shared" si="8"/>
        <v>782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0.82172701949860727</v>
      </c>
      <c r="AM17" s="284">
        <f>IF(ISNUMBER(((NºAsuntos!I17/NºAsuntos!G17)*11)/factor_trimestre),((NºAsuntos!I17/NºAsuntos!G17)*11)/factor_trimestre," - ")</f>
        <v>7.3728813559322042</v>
      </c>
      <c r="AN17" s="267">
        <f>IF(ISNUMBER('Resol  Asuntos'!D17/NºAsuntos!G17),'Resol  Asuntos'!D17/NºAsuntos!G17," - ")</f>
        <v>0.23050847457627119</v>
      </c>
      <c r="AO17" s="268">
        <f>IF(ISNUMBER((NºAsuntos!C17+NºAsuntos!E17)/NºAsuntos!G17),(NºAsuntos!C17+NºAsuntos!E17)/NºAsuntos!G17," - ")</f>
        <v>3.4576271186440679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39</v>
      </c>
      <c r="AB18" s="374">
        <f>IF(ISNUMBER(Datos!R18),Datos!R18," - ")</f>
        <v>6</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0.80555555555555558</v>
      </c>
      <c r="AM18" s="284">
        <f>IF(ISNUMBER(((NºAsuntos!I18/NºAsuntos!G18)*11)/factor_trimestre),((NºAsuntos!I18/NºAsuntos!G18)*11)/factor_trimestre," - ")</f>
        <v>4.0344827586206904</v>
      </c>
      <c r="AN18" s="267">
        <f>IF(ISNUMBER('Resol  Asuntos'!D18/NºAsuntos!G18),'Resol  Asuntos'!D18/NºAsuntos!G18," - ")</f>
        <v>0.34482758620689657</v>
      </c>
      <c r="AO18" s="268">
        <f>IF(ISNUMBER((NºAsuntos!C18+NºAsuntos!E18)/NºAsuntos!G18),(NºAsuntos!C18+NºAsuntos!E18)/NºAsuntos!G18," - ")</f>
        <v>2.3448275862068964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661</v>
      </c>
      <c r="G23" s="1163">
        <f>SUBTOTAL(9,G16:G22)</f>
        <v>693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324</v>
      </c>
      <c r="X23" s="1164">
        <f t="shared" si="14"/>
        <v>1</v>
      </c>
      <c r="Y23" s="1165">
        <f t="shared" si="14"/>
        <v>325</v>
      </c>
      <c r="Z23" s="1165">
        <f t="shared" si="14"/>
        <v>0</v>
      </c>
      <c r="AA23" s="1165">
        <f t="shared" si="14"/>
        <v>764</v>
      </c>
      <c r="AB23" s="1165">
        <f t="shared" si="14"/>
        <v>63</v>
      </c>
      <c r="AC23" s="1165">
        <f t="shared" si="14"/>
        <v>827</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0.82025316455696207</v>
      </c>
      <c r="AM23" s="1171">
        <f>IF(ISNUMBER(((NºAsuntos!I23/NºAsuntos!G23)*11)/factor_trimestre),((NºAsuntos!I23/NºAsuntos!G23)*11)/factor_trimestre," - ")</f>
        <v>7.0740740740740735</v>
      </c>
      <c r="AN23" s="1172">
        <f>IF(ISNUMBER('Resol  Asuntos'!D23/NºAsuntos!G23),'Resol  Asuntos'!D23/NºAsuntos!G23," - ")</f>
        <v>0.24074074074074073</v>
      </c>
      <c r="AO23" s="1173">
        <f>IF(ISNUMBER((NºAsuntos!C23+NºAsuntos!E23)/NºAsuntos!G23),(NºAsuntos!C23+NºAsuntos!E23)/NºAsuntos!G23," - ")</f>
        <v>3.3580246913580245</v>
      </c>
      <c r="AP23" s="1174" t="str">
        <f t="shared" si="2"/>
        <v xml:space="preserve"> - </v>
      </c>
      <c r="AQ23" s="1174">
        <f>IF(ISNUMBER((H23-W23+K23)/(F23)),(H23-W23+K23)/(F23)," - ")</f>
        <v>-0.49016641452344933</v>
      </c>
      <c r="AR23" s="1175">
        <f>IF(ISNUMBER((Datos!P23-Datos!Q23)/(Datos!R23-Datos!P23+Datos!Q23)),(Datos!P23-Datos!Q23)/(Datos!R23-Datos!P23+Datos!Q23)," - ")</f>
        <v>1.6129032258064516E-2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675</v>
      </c>
      <c r="G31" s="1118">
        <f t="shared" si="20"/>
        <v>707</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326</v>
      </c>
      <c r="X31" s="1118">
        <f t="shared" si="21"/>
        <v>92</v>
      </c>
      <c r="Y31" s="1125">
        <f t="shared" si="21"/>
        <v>418</v>
      </c>
      <c r="Z31" s="1125">
        <f t="shared" si="21"/>
        <v>0</v>
      </c>
      <c r="AA31" s="1125">
        <f t="shared" si="21"/>
        <v>778</v>
      </c>
      <c r="AB31" s="1125">
        <f t="shared" si="21"/>
        <v>2978</v>
      </c>
      <c r="AC31" s="1125">
        <f t="shared" si="21"/>
        <v>846</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0.75539568345323738</v>
      </c>
      <c r="AM31" s="1184">
        <f>IF(ISNUMBER(((NºAsuntos!I31/NºAsuntos!G31)*11)/factor_trimestre),((NºAsuntos!I31/NºAsuntos!G31)*11)/factor_trimestre," - ")</f>
        <v>10.318367346938777</v>
      </c>
      <c r="AN31" s="1184">
        <f>IF(ISNUMBER('Resol  Asuntos'!D31/NºAsuntos!G31),'Resol  Asuntos'!D31/NºAsuntos!G31," - ")</f>
        <v>0.18231292517006803</v>
      </c>
      <c r="AO31" s="1185">
        <f>IF(ISNUMBER((NºAsuntos!C31+NºAsuntos!E31)/NºAsuntos!G31),(NºAsuntos!C31+NºAsuntos!E31)/NºAsuntos!G31," - ")</f>
        <v>4.4394557823129253</v>
      </c>
      <c r="AP31" s="1186" t="str">
        <f t="shared" si="2"/>
        <v xml:space="preserve"> - </v>
      </c>
      <c r="AQ31" s="1187">
        <f>IF(OR(ISNUMBER(FIND("01",Criterios!A8,1)),ISNUMBER(FIND("02",Criterios!A8,1)),ISNUMBER(FIND("03",Criterios!A8,1)),ISNUMBER(FIND("04",Criterios!A8,1))),(I31-W31+K31)/(F31-K31),(H31-W31+K31)/(F31-K31))</f>
        <v>-0.48296296296296298</v>
      </c>
      <c r="AR31" s="1188">
        <f>IF(ISNUMBER((Datos!P31-Datos!Q31)/(Datos!R31-Datos!P31+Datos!Q31)),(Datos!P31-Datos!Q31)/(Datos!R31-Datos!P31+Datos!Q31)," - ")</f>
        <v>4.7233468286099868E-3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337.78217833390795</v>
      </c>
      <c r="G33" s="277">
        <f>IF(ISNUMBER(STDEV(G8:G30)),STDEV(G8:G30),"-")</f>
        <v>324.79685959072941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148.39185576419905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33.789262876160613</v>
      </c>
      <c r="AJ33" s="276">
        <f t="shared" si="25"/>
        <v>0</v>
      </c>
      <c r="AK33" s="278">
        <f t="shared" si="25"/>
        <v>0</v>
      </c>
      <c r="AL33" s="273">
        <f t="shared" si="25"/>
        <v>0.10594582227203096</v>
      </c>
      <c r="AM33" s="274">
        <f t="shared" si="25"/>
        <v>6.064149453130546</v>
      </c>
      <c r="AN33" s="274">
        <f t="shared" si="25"/>
        <v>0.13927429683249778</v>
      </c>
      <c r="AO33" s="275">
        <f t="shared" si="25"/>
        <v>2.0213831510435156</v>
      </c>
      <c r="AP33" s="317" t="str">
        <f t="shared" si="25"/>
        <v>-</v>
      </c>
      <c r="AQ33" s="318">
        <f t="shared" si="25"/>
        <v>0.24558474116420614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riBNIHhAm5rFNKcXLA6RUzOvtC29R2g4nFkT40CKDf/HQVl1E1Mn67WD7YjQJQr9FnFxXxDhyFpsKWUkoXPEw==" saltValue="JdXzeoDPUWWfcLpM7qLs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ORGAZ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-0.6216216216216216</v>
      </c>
      <c r="E10" s="393">
        <f>IF(ISNUMBER((Datos!J10-Datos!T10)/Datos!T10),(Datos!J10-Datos!T10)/Datos!T10," - ")</f>
        <v>-0.6</v>
      </c>
      <c r="F10" s="393">
        <f>IF(ISNUMBER((Datos!K10-Datos!U10)/Datos!U10),(Datos!K10-Datos!U10)/Datos!U10," - ")</f>
        <v>-0.6</v>
      </c>
      <c r="G10" s="394">
        <f>IF(ISNUMBER((Datos!L10-Datos!V10)/Datos!V10),(Datos!L10-Datos!V10)/Datos!V10," - ")</f>
        <v>-0.6216216216216216</v>
      </c>
      <c r="H10" s="244">
        <f>IF(ISNUMBER((Datos!M10-Datos!W10)/Datos!W10),(Datos!M10-Datos!W10)/Datos!W10," - ")</f>
        <v>-0.66666666666666663</v>
      </c>
      <c r="I10" s="395">
        <f>IF(ISNUMBER((Tasas!C10-Datos!BE10)/Datos!BE10),(Tasas!C10-Datos!BE10)/Datos!BE10," - ")</f>
        <v>-5.4054054054054099E-2</v>
      </c>
      <c r="J10" s="394">
        <f>IF(ISNUMBER((Tasas!D10-Datos!BF10)/Datos!BF10),(Tasas!D10-Datos!BF10)/Datos!BF10," - ")</f>
        <v>-0.16666666666666663</v>
      </c>
      <c r="K10" s="396">
        <f>IF(ISNUMBER((Tasas!E10-Datos!BG10)/Datos!BG10),(Tasas!E10-Datos!BG10)/Datos!BG10," - ")</f>
        <v>-4.7619047619047658E-2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0.66666666666666663</v>
      </c>
      <c r="I12" s="395">
        <f>IF(ISNUMBER((Tasas!C12-Datos!BE12)/Datos!BE12),(Tasas!C12-Datos!BE12)/Datos!BE12," - ")</f>
        <v>-0.17788620663883573</v>
      </c>
      <c r="J12" s="394">
        <f>IF(ISNUMBER((Tasas!D12-Datos!BF12)/Datos!BF12),(Tasas!D12-Datos!BF12)/Datos!BF12," - ")</f>
        <v>-0.68383135183560717</v>
      </c>
      <c r="K12" s="396">
        <f>IF(ISNUMBER((Tasas!E12-Datos!BG12)/Datos!BG12),(Tasas!E12-Datos!BG12)/Datos!BG12," - ")</f>
        <v>-0.14921590227213694</v>
      </c>
      <c r="M12" t="e">
        <f>IF(Monitorios="SI",Datos!CE12,0)</f>
        <v>#REF!</v>
      </c>
      <c r="N12" t="e">
        <f>IF(Monitorios="SI",Datos!CF12,0)</f>
        <v>#REF!</v>
      </c>
      <c r="O12" t="e">
        <f>IF(Monitorios="SI",Datos!CG12,0)</f>
        <v>#REF!</v>
      </c>
      <c r="P12" t="e">
        <f>IF(Monitorios="SI",Datos!CH12,0)</f>
        <v>#REF!</v>
      </c>
      <c r="Q12">
        <f>IF(J_V="SI",0,Datos!AG12)</f>
        <v>23</v>
      </c>
      <c r="R12">
        <f>IF(J_V="SI",0,Datos!AH12)</f>
        <v>12</v>
      </c>
      <c r="S12">
        <f>IF(J_V="SI",0,Datos!AI12)</f>
        <v>16</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0.55555555555555558</v>
      </c>
      <c r="I14" s="402">
        <f>IF(ISNUMBER((Tasas!C14-Datos!BE14)/Datos!BE14),(Tasas!C14-Datos!BE14)/Datos!BE14," - ")</f>
        <v>-0.18086166993056793</v>
      </c>
      <c r="J14" s="400">
        <f>IF(ISNUMBER((Tasas!D14-Datos!BF14)/Datos!BF14),(Tasas!D14-Datos!BF14)/Datos!BF14," - ")</f>
        <v>-0.68173729890692525</v>
      </c>
      <c r="K14" s="403">
        <f>IF(ISNUMBER((Tasas!E14-Datos!BG14)/Datos!BG14),(Tasas!E14-Datos!BG14)/Datos!BG14," - ")</f>
        <v>-0.1518756470487104</v>
      </c>
      <c r="M14" t="e">
        <f>IF(Monitorios="SI",Datos!CE14,0)</f>
        <v>#REF!</v>
      </c>
      <c r="N14" t="e">
        <f>IF(Monitorios="SI",Datos!CF14,0)</f>
        <v>#REF!</v>
      </c>
      <c r="O14" t="e">
        <f>IF(Monitorios="SI",Datos!CG14,0)</f>
        <v>#REF!</v>
      </c>
      <c r="P14" t="e">
        <f>IF(Monitorios="SI",Datos!CH14,0)</f>
        <v>#REF!</v>
      </c>
      <c r="Q14">
        <f>IF(J_V="SI",0,Datos!AG14)</f>
        <v>23</v>
      </c>
      <c r="R14">
        <f>IF(J_V="SI",0,Datos!AH14)</f>
        <v>12</v>
      </c>
      <c r="S14">
        <f>IF(J_V="SI",0,Datos!AI14)</f>
        <v>16</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0.30118110236220474</v>
      </c>
      <c r="E17" s="393">
        <f>IF(ISNUMBER(
   IF(D_I="SI",(Datos!J17-Datos!T17)/Datos!T17,(Datos!J17+Datos!AD17-(Datos!T17+Datos!AL17))/(Datos!T17+Datos!AL17))
     ),IF(D_I="SI",(Datos!J17-Datos!T17)/Datos!T17,(Datos!J17+Datos!AD17-(Datos!T17+Datos!AL17))/(Datos!T17+Datos!AL17))," - ")</f>
        <v>-6.5104166666666671E-2</v>
      </c>
      <c r="F17" s="393">
        <f>IF(ISNUMBER(
   IF(D_I="SI",(Datos!K17-Datos!U17)/Datos!U17,(Datos!K17+Datos!AE17-(Datos!U17+Datos!AM17))/(Datos!U17+Datos!AM17))
     ),IF(D_I="SI",(Datos!K17-Datos!U17)/Datos!U17,(Datos!K17+Datos!AE17-(Datos!U17+Datos!AM17))/(Datos!U17+Datos!AM17))," - ")</f>
        <v>-0.27339901477832512</v>
      </c>
      <c r="G17" s="394">
        <f>IF(ISNUMBER(
   IF(D_I="SI",(Datos!L17-Datos!V17)/Datos!V17,(Datos!L17+Datos!AF17-(Datos!V17+Datos!AN17))/(Datos!V17+Datos!AN17))
     ),IF(D_I="SI",(Datos!L17-Datos!V17)/Datos!V17,(Datos!L17+Datos!AF17-(Datos!V17+Datos!AN17))/(Datos!V17+Datos!AN17))," - ")</f>
        <v>0.49176954732510286</v>
      </c>
      <c r="H17" s="244">
        <f>IF(ISNUMBER((Datos!M17-Datos!W17)/Datos!W17),(Datos!M17-Datos!W17)/Datos!W17," - ")</f>
        <v>1.8333333333333333</v>
      </c>
      <c r="I17" s="395">
        <f>IF(ISNUMBER((Tasas!C17-Datos!BE17)/Datos!BE17),(Tasas!C17-Datos!BE17)/Datos!BE17," - ")</f>
        <v>1.0530794447931926</v>
      </c>
      <c r="J17" s="394">
        <f>IF(ISNUMBER((Tasas!D17-Datos!BF17)/Datos!BF17),(Tasas!D17-Datos!BF17)/Datos!BF17," - ")</f>
        <v>2.8994350282485875</v>
      </c>
      <c r="K17" s="396">
        <f>IF(ISNUMBER((Tasas!E17-Datos!BG17)/Datos!BG17),(Tasas!E17-Datos!BG17)/Datos!BG17," - ")</f>
        <v>0.57376301588508005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-9.375E-2</v>
      </c>
      <c r="G18" s="394">
        <f>IF(ISNUMBER(
   IF(D_I="SI",(Datos!L18-Datos!V18)/Datos!V18,(Datos!L18+Datos!AF18-(Datos!V18+Datos!AN18))/(Datos!V18+Datos!AN18))
     ),IF(D_I="SI",(Datos!L18-Datos!V18)/Datos!V18,(Datos!L18+Datos!AF18-(Datos!V18+Datos!AN18))/(Datos!V18+Datos!AN18))," - ")</f>
        <v>-0.22</v>
      </c>
      <c r="H18" s="244">
        <f>IF(ISNUMBER((Datos!M18-Datos!W18)/Datos!W18),(Datos!M18-Datos!W18)/Datos!W18," - ")</f>
        <v>-0.16666666666666666</v>
      </c>
      <c r="I18" s="395">
        <f>IF(ISNUMBER((Tasas!C18-Datos!BE18)/Datos!BE18),(Tasas!C18-Datos!BE18)/Datos!BE18," - ")</f>
        <v>-0.1393103448275862</v>
      </c>
      <c r="J18" s="394">
        <f>IF(ISNUMBER((Tasas!D18-Datos!BF18)/Datos!BF18),(Tasas!D18-Datos!BF18)/Datos!BF18," - ")</f>
        <v>-8.0459770114942472E-2</v>
      </c>
      <c r="K18" s="396">
        <f>IF(ISNUMBER((Tasas!E18-Datos!BG18)/Datos!BG18),(Tasas!E18-Datos!BG18)/Datos!BG18," - ")</f>
        <v>-8.4945332211942892E-2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0.24193548387096775</v>
      </c>
      <c r="E23" s="399">
        <f>IF(ISNUMBER(
   IF(D_I="SI",(Datos!J23-Datos!T23)/Datos!T23,(Datos!J23+Datos!AD23-(Datos!T23+Datos!AL23))/(Datos!T23+Datos!AL23))
     ),IF(D_I="SI",(Datos!J23-Datos!T23)/Datos!T23,(Datos!J23+Datos!AD23-(Datos!T23+Datos!AL23))/(Datos!T23+Datos!AL23))," - ")</f>
        <v>-5.0480769230769232E-2</v>
      </c>
      <c r="F23" s="399">
        <f>IF(ISNUMBER(
   IF(D_I="SI",(Datos!K23-Datos!U23)/Datos!U23,(Datos!K23+Datos!AE23-(Datos!U23+Datos!AM23))/(Datos!U23+Datos!AM23))
     ),IF(D_I="SI",(Datos!K23-Datos!U23)/Datos!U23,(Datos!K23+Datos!AE23-(Datos!U23+Datos!AM23))/(Datos!U23+Datos!AM23))," - ")</f>
        <v>-0.26027397260273971</v>
      </c>
      <c r="G23" s="400">
        <f>IF(ISNUMBER(
   IF(D_I="SI",(Datos!L23-Datos!V23)/Datos!V23,(Datos!L23+Datos!AF23-(Datos!V23+Datos!AN23))/(Datos!V23+Datos!AN23))
     ),IF(D_I="SI",(Datos!L23-Datos!V23)/Datos!V23,(Datos!L23+Datos!AF23-(Datos!V23+Datos!AN23))/(Datos!V23+Datos!AN23))," - ")</f>
        <v>0.42537313432835822</v>
      </c>
      <c r="H23" s="401">
        <f>IF(ISNUMBER((Datos!M23-Datos!W23)/Datos!W23),(Datos!M23-Datos!W23)/Datos!W23," - ")</f>
        <v>1.1666666666666667</v>
      </c>
      <c r="I23" s="402">
        <f>IF(ISNUMBER((Tasas!C23-Datos!BE23)/Datos!BE23),(Tasas!C23-Datos!BE23)/Datos!BE23," - ")</f>
        <v>0.9268933112216694</v>
      </c>
      <c r="J23" s="400">
        <f>IF(ISNUMBER((Tasas!D23-Datos!BF23)/Datos!BF23),(Tasas!D23-Datos!BF23)/Datos!BF23," - ")</f>
        <v>1.9290123456790123</v>
      </c>
      <c r="K23" s="403">
        <f>IF(ISNUMBER((Tasas!E23-Datos!BG23)/Datos!BG23),(Tasas!E23-Datos!BG23)/Datos!BG23," - ")</f>
        <v>0.51007681192486098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0.10096153846153846</v>
      </c>
      <c r="E31" s="409">
        <f>IF(ISNUMBER(
   IF(J_V="SI",(Datos!J31-Datos!T31)/Datos!T31,(Datos!J31+Datos!Z31-(Datos!T31+Datos!AH31))/(Datos!T31+Datos!AH31))
     ),IF(J_V="SI",(Datos!J31-Datos!T31)/Datos!T31,(Datos!J31+Datos!Z31-(Datos!T31+Datos!AH31))/(Datos!T31+Datos!AH31))," - ")</f>
        <v>0.1487603305785124</v>
      </c>
      <c r="F31" s="409">
        <f>IF(ISNUMBER(
   IF(J_V="SI",(Datos!K31-Datos!U31)/Datos!U31,(Datos!K31+Datos!AA31-(Datos!U31+Datos!AI31))/(Datos!U31+Datos!AI31))
     ),IF(J_V="SI",(Datos!K31-Datos!U31)/Datos!U31,(Datos!K31+Datos!AA31-(Datos!U31+Datos!AI31))/(Datos!U31+Datos!AI31))," - ")</f>
        <v>-2.1304926764314249E-2</v>
      </c>
      <c r="G31" s="410">
        <f>IF(ISNUMBER(
   IF(J_V="SI",(Datos!L31-Datos!V31)/Datos!V31,(Datos!L31+Datos!AB31-(Datos!V31+Datos!AJ31))/(Datos!V31+Datos!AJ31))
     ),IF(J_V="SI",(Datos!L31-Datos!V31)/Datos!V31,(Datos!L31+Datos!AB31-(Datos!V31+Datos!AJ31))/(Datos!V31+Datos!AJ31))," - ")</f>
        <v>0.16176470588235295</v>
      </c>
      <c r="H31" s="411">
        <f>IF(ISNUMBER((Datos!M31-Datos!W31)/Datos!W31),(Datos!M31-Datos!W31)/Datos!W31," - ")</f>
        <v>0.86111111111111116</v>
      </c>
      <c r="I31" s="408">
        <f>IF(ISNUMBER((Tasas!C31-Datos!BE31)/Datos!BE31),(Tasas!C31-Datos!BE31)/Datos!BE31," - ")</f>
        <v>0.18705482192877154</v>
      </c>
      <c r="J31" s="409">
        <f>IF(ISNUMBER((Tasas!D31-Datos!BF31)/Datos!BF31),(Tasas!D31-Datos!BF31)/Datos!BF31," - ")</f>
        <v>-0.19460584233693476</v>
      </c>
      <c r="K31" s="410">
        <f>IF(ISNUMBER((Tasas!E31-Datos!BG31)/Datos!BG31),(Tasas!E31-Datos!BG31)/Datos!BG31," - ")</f>
        <v>0.1390609130567157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0.45357270961711327</v>
      </c>
      <c r="E33" s="303">
        <f t="shared" si="1"/>
        <v>0.31369529746355601</v>
      </c>
      <c r="F33" s="303">
        <f t="shared" si="1"/>
        <v>0.21184650662551738</v>
      </c>
      <c r="G33" s="304">
        <f t="shared" si="1"/>
        <v>0.53421817450834308</v>
      </c>
      <c r="H33" s="310">
        <f t="shared" si="1"/>
        <v>0.8981576937255249</v>
      </c>
      <c r="I33" s="302">
        <f t="shared" si="1"/>
        <v>0.58566092485991261</v>
      </c>
      <c r="J33" s="303">
        <f t="shared" si="1"/>
        <v>1.5080413964095527</v>
      </c>
      <c r="K33" s="304">
        <f t="shared" si="1"/>
        <v>0.33874495310386316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m1d/cjr4vPgnTkcZMMauqTx78CpMbcHV4uflbbjgP3/fFLE1Ys9udOC2SuIfN9EmWT/qVEZR6XDKRSUIdv0vw==" saltValue="US0KGv69p1rcr2HqoaUz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